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comments6.xml" ContentType="application/vnd.openxmlformats-officedocument.spreadsheetml.comments+xml"/>
  <Override PartName="/xl/threadedComments/threadedComment5.xml" ContentType="application/vnd.ms-excel.threadedcomments+xml"/>
  <Override PartName="/xl/charts/chartEx1.xml" ContentType="application/vnd.ms-office.chartex+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7.xml" ContentType="application/vnd.openxmlformats-officedocument.spreadsheetml.comments+xml"/>
  <Override PartName="/xl/threadedComments/threadedComment6.xml" ContentType="application/vnd.ms-excel.threadedcomments+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Ex3.xml" ContentType="application/vnd.ms-office.chartex+xml"/>
  <Override PartName="/xl/charts/style5.xml" ContentType="application/vnd.ms-office.chartstyle+xml"/>
  <Override PartName="/xl/charts/colors5.xml" ContentType="application/vnd.ms-office.chartcolorstyle+xml"/>
  <Override PartName="/xl/comments8.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JelenaLascenko\Desktop\Ekspertes_nodevums_sutisana\"/>
    </mc:Choice>
  </mc:AlternateContent>
  <xr:revisionPtr revIDLastSave="0" documentId="13_ncr:1_{4A7A2D01-2A6B-47F8-9666-73714F84E102}" xr6:coauthVersionLast="47" xr6:coauthVersionMax="47" xr10:uidLastSave="{00000000-0000-0000-0000-000000000000}"/>
  <bookViews>
    <workbookView xWindow="-110" yWindow="-110" windowWidth="19420" windowHeight="10300" tabRatio="853" xr2:uid="{FE31290D-3D1C-4E71-B21D-5A6069B4043F}"/>
  </bookViews>
  <sheets>
    <sheet name="Aprēķins" sheetId="3" r:id="rId1"/>
    <sheet name="Iedz_sk" sheetId="9" r:id="rId2"/>
    <sheet name="Riga_iedz" sheetId="5" r:id="rId3"/>
    <sheet name="IKP" sheetId="11" r:id="rId4"/>
    <sheet name="Atkritumi" sheetId="12" r:id="rId5"/>
    <sheet name="NSAmaksa_2021" sheetId="6" r:id="rId6"/>
    <sheet name="AAR_Jauda" sheetId="22" r:id="rId7"/>
    <sheet name="Aprēķins_2030" sheetId="21" r:id="rId8"/>
    <sheet name="Karte_AAR" sheetId="19" r:id="rId9"/>
    <sheet name="Novadi" sheetId="13" state="hidden" r:id="rId10"/>
  </sheets>
  <externalReferences>
    <externalReference r:id="rId11"/>
  </externalReferences>
  <definedNames>
    <definedName name="_xlnm._FilterDatabase" localSheetId="1" hidden="1">Iedz_sk!$A$2:$Y$123</definedName>
    <definedName name="_xlnm._FilterDatabase" localSheetId="3" hidden="1">IKP!$A$4:$AD$124</definedName>
    <definedName name="_xlnm._FilterDatabase" localSheetId="8" hidden="1">Karte_AAR!$A$2:$C$46</definedName>
    <definedName name="_xlnm._FilterDatabase" localSheetId="9" hidden="1">Novadi!$A$2:$E$121</definedName>
    <definedName name="_xlnm._FilterDatabase" localSheetId="5" hidden="1">NSAmaksa_2021!$A$3:$Q$138</definedName>
    <definedName name="_xlchart.v5.0" hidden="1">Aprēķins_2030!$B$198:$C$198</definedName>
    <definedName name="_xlchart.v5.1" hidden="1">Aprēķins_2030!$B$199:$C$242</definedName>
    <definedName name="_xlchart.v5.10" hidden="1">Karte_AAR!$C$50</definedName>
    <definedName name="_xlchart.v5.11" hidden="1">Karte_AAR!$C$51:$C$92</definedName>
    <definedName name="_xlchart.v5.2" hidden="1">Aprēķins_2030!$D$198</definedName>
    <definedName name="_xlchart.v5.3" hidden="1">Aprēķins_2030!$D$199:$D$242</definedName>
    <definedName name="_xlchart.v5.4" hidden="1">Karte_AAR!$A$2:$B$2</definedName>
    <definedName name="_xlchart.v5.5" hidden="1">Karte_AAR!$A$3:$B$44</definedName>
    <definedName name="_xlchart.v5.6" hidden="1">Karte_AAR!$C$2</definedName>
    <definedName name="_xlchart.v5.7" hidden="1">Karte_AAR!$C$3:$C$44</definedName>
    <definedName name="_xlchart.v5.8" hidden="1">Karte_AAR!$A$50:$B$50</definedName>
    <definedName name="_xlchart.v5.9" hidden="1">Karte_AAR!$A$51:$B$92</definedName>
    <definedName name="_xlcn.WorksheetConnection_Karte2I1L1201" hidden="1">'[1]Karte (2)'!$I$1:$Q$120</definedName>
    <definedName name="m_2566965252520474165__GoBack" localSheetId="8">Karte_AAR!#REF!</definedName>
    <definedName name="solver_eng" localSheetId="4" hidden="1">1</definedName>
    <definedName name="solver_neg" localSheetId="4" hidden="1">1</definedName>
    <definedName name="solver_num" localSheetId="4" hidden="1">0</definedName>
    <definedName name="solver_opt" localSheetId="4" hidden="1">Atkritumi!#REF!</definedName>
    <definedName name="solver_typ" localSheetId="4" hidden="1">1</definedName>
    <definedName name="solver_val" localSheetId="4" hidden="1">0</definedName>
    <definedName name="solver_ver" localSheetId="4" hidden="1">3</definedName>
  </definedNames>
  <calcPr calcId="191029"/>
  <pivotCaches>
    <pivotCache cacheId="0" r:id="rId12"/>
    <pivotCache cacheId="1" r:id="rId13"/>
    <pivotCache cacheId="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Karte (2)!$I$1:$L$120"/>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0" i="21" l="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N4" i="22"/>
  <c r="M4" i="22" l="1"/>
  <c r="M13" i="22"/>
  <c r="M12" i="22"/>
  <c r="N12" i="22" s="1"/>
  <c r="M10" i="22"/>
  <c r="N10" i="22" s="1"/>
  <c r="M9" i="22"/>
  <c r="M8" i="22"/>
  <c r="N8" i="22" s="1"/>
  <c r="M5" i="22"/>
  <c r="N5" i="22" s="1"/>
  <c r="M6" i="22"/>
  <c r="M7" i="22"/>
  <c r="M11" i="22"/>
  <c r="M6" i="21" l="1"/>
  <c r="Q6" i="21" s="1"/>
  <c r="U6" i="21" s="1"/>
  <c r="I6" i="21"/>
  <c r="M5" i="21"/>
  <c r="Q5" i="21" s="1"/>
  <c r="U5" i="21" s="1"/>
  <c r="M126" i="21"/>
  <c r="M127" i="21"/>
  <c r="Q127" i="21" s="1"/>
  <c r="U127" i="21" s="1"/>
  <c r="M128" i="21"/>
  <c r="Q128" i="21" s="1"/>
  <c r="U128" i="21" s="1"/>
  <c r="M129" i="21"/>
  <c r="Q129" i="21" s="1"/>
  <c r="U129" i="21" s="1"/>
  <c r="M7" i="21"/>
  <c r="Q7" i="21" s="1"/>
  <c r="U7" i="21" s="1"/>
  <c r="M8" i="21"/>
  <c r="Q8" i="21" s="1"/>
  <c r="U8" i="21" s="1"/>
  <c r="M9" i="21"/>
  <c r="Q9" i="21" s="1"/>
  <c r="U9" i="21" s="1"/>
  <c r="M10" i="21"/>
  <c r="Q10" i="21" s="1"/>
  <c r="U10" i="21" s="1"/>
  <c r="M11" i="21"/>
  <c r="Q11" i="21" s="1"/>
  <c r="U11" i="21" s="1"/>
  <c r="M12" i="21"/>
  <c r="Q12" i="21" s="1"/>
  <c r="U12" i="21" s="1"/>
  <c r="M13" i="21"/>
  <c r="Q13" i="21" s="1"/>
  <c r="U13" i="21" s="1"/>
  <c r="M14" i="21"/>
  <c r="Q14" i="21" s="1"/>
  <c r="U14" i="21" s="1"/>
  <c r="M15" i="21"/>
  <c r="Q15" i="21" s="1"/>
  <c r="U15" i="21" s="1"/>
  <c r="M16" i="21"/>
  <c r="Q16" i="21" s="1"/>
  <c r="U16" i="21" s="1"/>
  <c r="M17" i="21"/>
  <c r="Q17" i="21" s="1"/>
  <c r="U17" i="21" s="1"/>
  <c r="M18" i="21"/>
  <c r="Q18" i="21" s="1"/>
  <c r="U18" i="21" s="1"/>
  <c r="M19" i="21"/>
  <c r="Q19" i="21" s="1"/>
  <c r="U19" i="21" s="1"/>
  <c r="M20" i="21"/>
  <c r="Q20" i="21" s="1"/>
  <c r="U20" i="21" s="1"/>
  <c r="M21" i="21"/>
  <c r="Q21" i="21" s="1"/>
  <c r="U21" i="21" s="1"/>
  <c r="M22" i="21"/>
  <c r="Q22" i="21" s="1"/>
  <c r="U22" i="21" s="1"/>
  <c r="M23" i="21"/>
  <c r="Q23" i="21" s="1"/>
  <c r="U23" i="21" s="1"/>
  <c r="M24" i="21"/>
  <c r="Q24" i="21" s="1"/>
  <c r="U24" i="21" s="1"/>
  <c r="M25" i="21"/>
  <c r="Q25" i="21" s="1"/>
  <c r="U25" i="21" s="1"/>
  <c r="M26" i="21"/>
  <c r="Q26" i="21" s="1"/>
  <c r="U26" i="21" s="1"/>
  <c r="M27" i="21"/>
  <c r="Q27" i="21" s="1"/>
  <c r="U27" i="21" s="1"/>
  <c r="M28" i="21"/>
  <c r="Q28" i="21" s="1"/>
  <c r="U28" i="21" s="1"/>
  <c r="M29" i="21"/>
  <c r="Q29" i="21" s="1"/>
  <c r="U29" i="21" s="1"/>
  <c r="M30" i="21"/>
  <c r="Q30" i="21" s="1"/>
  <c r="U30" i="21" s="1"/>
  <c r="M31" i="21"/>
  <c r="Q31" i="21" s="1"/>
  <c r="U31" i="21" s="1"/>
  <c r="M32" i="21"/>
  <c r="Q32" i="21" s="1"/>
  <c r="U32" i="21" s="1"/>
  <c r="M33" i="21"/>
  <c r="Q33" i="21" s="1"/>
  <c r="U33" i="21" s="1"/>
  <c r="M34" i="21"/>
  <c r="Q34" i="21" s="1"/>
  <c r="U34" i="21" s="1"/>
  <c r="M35" i="21"/>
  <c r="Q35" i="21" s="1"/>
  <c r="U35" i="21" s="1"/>
  <c r="M36" i="21"/>
  <c r="Q36" i="21" s="1"/>
  <c r="U36" i="21" s="1"/>
  <c r="M37" i="21"/>
  <c r="Q37" i="21" s="1"/>
  <c r="U37" i="21" s="1"/>
  <c r="M38" i="21"/>
  <c r="Q38" i="21" s="1"/>
  <c r="U38" i="21" s="1"/>
  <c r="M39" i="21"/>
  <c r="Q39" i="21" s="1"/>
  <c r="U39" i="21" s="1"/>
  <c r="M40" i="21"/>
  <c r="Q40" i="21" s="1"/>
  <c r="U40" i="21" s="1"/>
  <c r="M41" i="21"/>
  <c r="Q41" i="21" s="1"/>
  <c r="U41" i="21" s="1"/>
  <c r="M42" i="21"/>
  <c r="Q42" i="21" s="1"/>
  <c r="U42" i="21" s="1"/>
  <c r="M43" i="21"/>
  <c r="Q43" i="21" s="1"/>
  <c r="U43" i="21" s="1"/>
  <c r="M44" i="21"/>
  <c r="Q44" i="21" s="1"/>
  <c r="U44" i="21" s="1"/>
  <c r="M45" i="21"/>
  <c r="Q45" i="21" s="1"/>
  <c r="U45" i="21" s="1"/>
  <c r="M46" i="21"/>
  <c r="Q46" i="21" s="1"/>
  <c r="U46" i="21" s="1"/>
  <c r="M47" i="21"/>
  <c r="Q47" i="21" s="1"/>
  <c r="U47" i="21" s="1"/>
  <c r="M48" i="21"/>
  <c r="Q48" i="21" s="1"/>
  <c r="U48" i="21" s="1"/>
  <c r="M49" i="21"/>
  <c r="Q49" i="21" s="1"/>
  <c r="U49" i="21" s="1"/>
  <c r="M50" i="21"/>
  <c r="Q50" i="21" s="1"/>
  <c r="U50" i="21" s="1"/>
  <c r="M51" i="21"/>
  <c r="Q51" i="21" s="1"/>
  <c r="U51" i="21" s="1"/>
  <c r="M52" i="21"/>
  <c r="Q52" i="21" s="1"/>
  <c r="U52" i="21" s="1"/>
  <c r="M53" i="21"/>
  <c r="Q53" i="21" s="1"/>
  <c r="U53" i="21" s="1"/>
  <c r="M54" i="21"/>
  <c r="Q54" i="21" s="1"/>
  <c r="U54" i="21" s="1"/>
  <c r="M55" i="21"/>
  <c r="Q55" i="21" s="1"/>
  <c r="U55" i="21" s="1"/>
  <c r="M56" i="21"/>
  <c r="Q56" i="21" s="1"/>
  <c r="U56" i="21" s="1"/>
  <c r="M57" i="21"/>
  <c r="Q57" i="21" s="1"/>
  <c r="U57" i="21" s="1"/>
  <c r="M58" i="21"/>
  <c r="Q58" i="21" s="1"/>
  <c r="U58" i="21" s="1"/>
  <c r="M59" i="21"/>
  <c r="Q59" i="21" s="1"/>
  <c r="U59" i="21" s="1"/>
  <c r="M60" i="21"/>
  <c r="Q60" i="21" s="1"/>
  <c r="U60" i="21" s="1"/>
  <c r="M61" i="21"/>
  <c r="Q61" i="21" s="1"/>
  <c r="U61" i="21" s="1"/>
  <c r="M62" i="21"/>
  <c r="Q62" i="21" s="1"/>
  <c r="U62" i="21" s="1"/>
  <c r="M63" i="21"/>
  <c r="Q63" i="21" s="1"/>
  <c r="U63" i="21" s="1"/>
  <c r="M64" i="21"/>
  <c r="Q64" i="21" s="1"/>
  <c r="U64" i="21" s="1"/>
  <c r="M65" i="21"/>
  <c r="Q65" i="21" s="1"/>
  <c r="U65" i="21" s="1"/>
  <c r="M66" i="21"/>
  <c r="Q66" i="21" s="1"/>
  <c r="U66" i="21" s="1"/>
  <c r="M67" i="21"/>
  <c r="Q67" i="21" s="1"/>
  <c r="U67" i="21" s="1"/>
  <c r="M68" i="21"/>
  <c r="Q68" i="21" s="1"/>
  <c r="U68" i="21" s="1"/>
  <c r="M69" i="21"/>
  <c r="Q69" i="21" s="1"/>
  <c r="U69" i="21" s="1"/>
  <c r="M70" i="21"/>
  <c r="Q70" i="21" s="1"/>
  <c r="U70" i="21" s="1"/>
  <c r="M71" i="21"/>
  <c r="Q71" i="21" s="1"/>
  <c r="U71" i="21" s="1"/>
  <c r="M72" i="21"/>
  <c r="Q72" i="21" s="1"/>
  <c r="U72" i="21" s="1"/>
  <c r="M73" i="21"/>
  <c r="Q73" i="21" s="1"/>
  <c r="U73" i="21" s="1"/>
  <c r="M74" i="21"/>
  <c r="Q74" i="21" s="1"/>
  <c r="U74" i="21" s="1"/>
  <c r="M75" i="21"/>
  <c r="Q75" i="21" s="1"/>
  <c r="U75" i="21" s="1"/>
  <c r="M76" i="21"/>
  <c r="Q76" i="21" s="1"/>
  <c r="U76" i="21" s="1"/>
  <c r="M77" i="21"/>
  <c r="Q77" i="21" s="1"/>
  <c r="U77" i="21" s="1"/>
  <c r="M78" i="21"/>
  <c r="Q78" i="21" s="1"/>
  <c r="U78" i="21" s="1"/>
  <c r="M79" i="21"/>
  <c r="Q79" i="21" s="1"/>
  <c r="U79" i="21" s="1"/>
  <c r="M80" i="21"/>
  <c r="Q80" i="21" s="1"/>
  <c r="U80" i="21" s="1"/>
  <c r="M81" i="21"/>
  <c r="Q81" i="21" s="1"/>
  <c r="U81" i="21" s="1"/>
  <c r="M82" i="21"/>
  <c r="Q82" i="21" s="1"/>
  <c r="U82" i="21" s="1"/>
  <c r="M83" i="21"/>
  <c r="Q83" i="21" s="1"/>
  <c r="U83" i="21" s="1"/>
  <c r="M84" i="21"/>
  <c r="Q84" i="21" s="1"/>
  <c r="U84" i="21" s="1"/>
  <c r="M85" i="21"/>
  <c r="Q85" i="21" s="1"/>
  <c r="U85" i="21" s="1"/>
  <c r="M86" i="21"/>
  <c r="Q86" i="21" s="1"/>
  <c r="U86" i="21" s="1"/>
  <c r="M87" i="21"/>
  <c r="Q87" i="21" s="1"/>
  <c r="U87" i="21" s="1"/>
  <c r="M88" i="21"/>
  <c r="Q88" i="21" s="1"/>
  <c r="U88" i="21" s="1"/>
  <c r="M89" i="21"/>
  <c r="Q89" i="21" s="1"/>
  <c r="U89" i="21" s="1"/>
  <c r="M90" i="21"/>
  <c r="Q90" i="21" s="1"/>
  <c r="U90" i="21" s="1"/>
  <c r="M91" i="21"/>
  <c r="Q91" i="21" s="1"/>
  <c r="U91" i="21" s="1"/>
  <c r="M92" i="21"/>
  <c r="Q92" i="21" s="1"/>
  <c r="U92" i="21" s="1"/>
  <c r="M93" i="21"/>
  <c r="Q93" i="21" s="1"/>
  <c r="U93" i="21" s="1"/>
  <c r="M94" i="21"/>
  <c r="Q94" i="21" s="1"/>
  <c r="U94" i="21" s="1"/>
  <c r="M95" i="21"/>
  <c r="Q95" i="21" s="1"/>
  <c r="U95" i="21" s="1"/>
  <c r="M96" i="21"/>
  <c r="Q96" i="21" s="1"/>
  <c r="U96" i="21" s="1"/>
  <c r="M97" i="21"/>
  <c r="Q97" i="21" s="1"/>
  <c r="U97" i="21" s="1"/>
  <c r="M98" i="21"/>
  <c r="Q98" i="21" s="1"/>
  <c r="U98" i="21" s="1"/>
  <c r="M99" i="21"/>
  <c r="Q99" i="21" s="1"/>
  <c r="U99" i="21" s="1"/>
  <c r="M100" i="21"/>
  <c r="Q100" i="21" s="1"/>
  <c r="U100" i="21" s="1"/>
  <c r="M101" i="21"/>
  <c r="Q101" i="21" s="1"/>
  <c r="U101" i="21" s="1"/>
  <c r="M102" i="21"/>
  <c r="Q102" i="21" s="1"/>
  <c r="U102" i="21" s="1"/>
  <c r="M103" i="21"/>
  <c r="Q103" i="21" s="1"/>
  <c r="U103" i="21" s="1"/>
  <c r="M104" i="21"/>
  <c r="Q104" i="21" s="1"/>
  <c r="U104" i="21" s="1"/>
  <c r="M105" i="21"/>
  <c r="Q105" i="21" s="1"/>
  <c r="U105" i="21" s="1"/>
  <c r="M106" i="21"/>
  <c r="Q106" i="21" s="1"/>
  <c r="U106" i="21" s="1"/>
  <c r="M107" i="21"/>
  <c r="Q107" i="21" s="1"/>
  <c r="U107" i="21" s="1"/>
  <c r="M108" i="21"/>
  <c r="Q108" i="21" s="1"/>
  <c r="U108" i="21" s="1"/>
  <c r="M109" i="21"/>
  <c r="Q109" i="21" s="1"/>
  <c r="U109" i="21" s="1"/>
  <c r="M110" i="21"/>
  <c r="Q110" i="21" s="1"/>
  <c r="U110" i="21" s="1"/>
  <c r="M111" i="21"/>
  <c r="Q111" i="21" s="1"/>
  <c r="U111" i="21" s="1"/>
  <c r="M112" i="21"/>
  <c r="Q112" i="21" s="1"/>
  <c r="U112" i="21" s="1"/>
  <c r="M113" i="21"/>
  <c r="Q113" i="21" s="1"/>
  <c r="U113" i="21" s="1"/>
  <c r="M114" i="21"/>
  <c r="Q114" i="21" s="1"/>
  <c r="U114" i="21" s="1"/>
  <c r="M115" i="21"/>
  <c r="Q115" i="21" s="1"/>
  <c r="U115" i="21" s="1"/>
  <c r="M116" i="21"/>
  <c r="Q116" i="21" s="1"/>
  <c r="U116" i="21" s="1"/>
  <c r="M117" i="21"/>
  <c r="Q117" i="21" s="1"/>
  <c r="U117" i="21" s="1"/>
  <c r="M118" i="21"/>
  <c r="Q118" i="21" s="1"/>
  <c r="U118" i="21" s="1"/>
  <c r="M119" i="21"/>
  <c r="Q119" i="21" s="1"/>
  <c r="U119" i="21" s="1"/>
  <c r="M120" i="21"/>
  <c r="Q120" i="21" s="1"/>
  <c r="U120" i="21" s="1"/>
  <c r="M121" i="21"/>
  <c r="Q121" i="21" s="1"/>
  <c r="U121" i="21" s="1"/>
  <c r="M122" i="21"/>
  <c r="Q122" i="21" s="1"/>
  <c r="U122" i="21" s="1"/>
  <c r="M123" i="21"/>
  <c r="Q123" i="21" s="1"/>
  <c r="U123" i="21" s="1"/>
  <c r="M124" i="21"/>
  <c r="Q124" i="21" s="1"/>
  <c r="U124" i="21" s="1"/>
  <c r="L6" i="21"/>
  <c r="P6" i="21" s="1"/>
  <c r="T6" i="21" s="1"/>
  <c r="I126" i="21"/>
  <c r="I127" i="21"/>
  <c r="I128" i="21"/>
  <c r="I129"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H6" i="21"/>
  <c r="L129" i="21"/>
  <c r="P129" i="21" s="1"/>
  <c r="K129" i="21"/>
  <c r="O129" i="21" s="1"/>
  <c r="J129" i="21"/>
  <c r="N129" i="21" s="1"/>
  <c r="H129" i="21"/>
  <c r="G129" i="21"/>
  <c r="F129" i="21"/>
  <c r="L128" i="21"/>
  <c r="P128" i="21" s="1"/>
  <c r="K128" i="21"/>
  <c r="O128" i="21" s="1"/>
  <c r="J128" i="21"/>
  <c r="N128" i="21" s="1"/>
  <c r="H128" i="21"/>
  <c r="G128" i="21"/>
  <c r="F128" i="21"/>
  <c r="L127" i="21"/>
  <c r="P127" i="21" s="1"/>
  <c r="K127" i="21"/>
  <c r="O127" i="21" s="1"/>
  <c r="J127" i="21"/>
  <c r="N127" i="21" s="1"/>
  <c r="H127" i="21"/>
  <c r="G127" i="21"/>
  <c r="F127" i="21"/>
  <c r="L126" i="21"/>
  <c r="P126" i="21" s="1"/>
  <c r="T126" i="21" s="1"/>
  <c r="K126" i="21"/>
  <c r="J126" i="21"/>
  <c r="H126" i="21"/>
  <c r="G126" i="21"/>
  <c r="F126" i="21"/>
  <c r="L124" i="21"/>
  <c r="P124" i="21" s="1"/>
  <c r="K124" i="21"/>
  <c r="O124" i="21" s="1"/>
  <c r="J124" i="21"/>
  <c r="N124" i="21" s="1"/>
  <c r="H124" i="21"/>
  <c r="G124" i="21"/>
  <c r="F124" i="21"/>
  <c r="L123" i="21"/>
  <c r="P123" i="21" s="1"/>
  <c r="K123" i="21"/>
  <c r="O123" i="21" s="1"/>
  <c r="J123" i="21"/>
  <c r="N123" i="21" s="1"/>
  <c r="H123" i="21"/>
  <c r="G123" i="21"/>
  <c r="F123" i="21"/>
  <c r="L122" i="21"/>
  <c r="P122" i="21" s="1"/>
  <c r="K122" i="21"/>
  <c r="O122" i="21" s="1"/>
  <c r="J122" i="21"/>
  <c r="N122" i="21" s="1"/>
  <c r="H122" i="21"/>
  <c r="G122" i="21"/>
  <c r="F122" i="21"/>
  <c r="L121" i="21"/>
  <c r="P121" i="21" s="1"/>
  <c r="K121" i="21"/>
  <c r="O121" i="21" s="1"/>
  <c r="J121" i="21"/>
  <c r="N121" i="21" s="1"/>
  <c r="H121" i="21"/>
  <c r="G121" i="21"/>
  <c r="F121" i="21"/>
  <c r="L120" i="21"/>
  <c r="P120" i="21" s="1"/>
  <c r="K120" i="21"/>
  <c r="O120" i="21" s="1"/>
  <c r="J120" i="21"/>
  <c r="N120" i="21" s="1"/>
  <c r="H120" i="21"/>
  <c r="G120" i="21"/>
  <c r="F120" i="21"/>
  <c r="L119" i="21"/>
  <c r="P119" i="21" s="1"/>
  <c r="K119" i="21"/>
  <c r="O119" i="21" s="1"/>
  <c r="J119" i="21"/>
  <c r="N119" i="21" s="1"/>
  <c r="H119" i="21"/>
  <c r="G119" i="21"/>
  <c r="F119" i="21"/>
  <c r="L118" i="21"/>
  <c r="P118" i="21" s="1"/>
  <c r="K118" i="21"/>
  <c r="O118" i="21" s="1"/>
  <c r="J118" i="21"/>
  <c r="N118" i="21" s="1"/>
  <c r="H118" i="21"/>
  <c r="G118" i="21"/>
  <c r="F118" i="21"/>
  <c r="L117" i="21"/>
  <c r="P117" i="21" s="1"/>
  <c r="T117" i="21" s="1"/>
  <c r="K117" i="21"/>
  <c r="O117" i="21" s="1"/>
  <c r="J117" i="21"/>
  <c r="N117" i="21" s="1"/>
  <c r="H117" i="21"/>
  <c r="G117" i="21"/>
  <c r="F117" i="21"/>
  <c r="L116" i="21"/>
  <c r="P116" i="21" s="1"/>
  <c r="K116" i="21"/>
  <c r="O116" i="21" s="1"/>
  <c r="J116" i="21"/>
  <c r="N116" i="21" s="1"/>
  <c r="H116" i="21"/>
  <c r="G116" i="21"/>
  <c r="F116" i="21"/>
  <c r="L115" i="21"/>
  <c r="P115" i="21" s="1"/>
  <c r="K115" i="21"/>
  <c r="O115" i="21" s="1"/>
  <c r="J115" i="21"/>
  <c r="N115" i="21" s="1"/>
  <c r="H115" i="21"/>
  <c r="G115" i="21"/>
  <c r="F115" i="21"/>
  <c r="L114" i="21"/>
  <c r="P114" i="21" s="1"/>
  <c r="K114" i="21"/>
  <c r="O114" i="21" s="1"/>
  <c r="J114" i="21"/>
  <c r="N114" i="21" s="1"/>
  <c r="H114" i="21"/>
  <c r="G114" i="21"/>
  <c r="F114" i="21"/>
  <c r="L113" i="21"/>
  <c r="P113" i="21" s="1"/>
  <c r="K113" i="21"/>
  <c r="O113" i="21" s="1"/>
  <c r="J113" i="21"/>
  <c r="N113" i="21" s="1"/>
  <c r="H113" i="21"/>
  <c r="G113" i="21"/>
  <c r="F113" i="21"/>
  <c r="L112" i="21"/>
  <c r="P112" i="21" s="1"/>
  <c r="K112" i="21"/>
  <c r="O112" i="21" s="1"/>
  <c r="J112" i="21"/>
  <c r="N112" i="21" s="1"/>
  <c r="R112" i="21" s="1"/>
  <c r="H112" i="21"/>
  <c r="G112" i="21"/>
  <c r="F112" i="21"/>
  <c r="L111" i="21"/>
  <c r="P111" i="21" s="1"/>
  <c r="K111" i="21"/>
  <c r="O111" i="21" s="1"/>
  <c r="J111" i="21"/>
  <c r="N111" i="21" s="1"/>
  <c r="H111" i="21"/>
  <c r="G111" i="21"/>
  <c r="F111" i="21"/>
  <c r="L110" i="21"/>
  <c r="P110" i="21" s="1"/>
  <c r="K110" i="21"/>
  <c r="O110" i="21" s="1"/>
  <c r="J110" i="21"/>
  <c r="N110" i="21" s="1"/>
  <c r="H110" i="21"/>
  <c r="G110" i="21"/>
  <c r="F110" i="21"/>
  <c r="L109" i="21"/>
  <c r="P109" i="21" s="1"/>
  <c r="T109" i="21" s="1"/>
  <c r="K109" i="21"/>
  <c r="O109" i="21" s="1"/>
  <c r="J109" i="21"/>
  <c r="N109" i="21" s="1"/>
  <c r="H109" i="21"/>
  <c r="G109" i="21"/>
  <c r="F109" i="21"/>
  <c r="L108" i="21"/>
  <c r="P108" i="21" s="1"/>
  <c r="K108" i="21"/>
  <c r="O108" i="21" s="1"/>
  <c r="J108" i="21"/>
  <c r="N108" i="21" s="1"/>
  <c r="H108" i="21"/>
  <c r="G108" i="21"/>
  <c r="F108" i="21"/>
  <c r="L107" i="21"/>
  <c r="P107" i="21" s="1"/>
  <c r="K107" i="21"/>
  <c r="O107" i="21" s="1"/>
  <c r="J107" i="21"/>
  <c r="N107" i="21" s="1"/>
  <c r="H107" i="21"/>
  <c r="G107" i="21"/>
  <c r="F107" i="21"/>
  <c r="L106" i="21"/>
  <c r="P106" i="21" s="1"/>
  <c r="K106" i="21"/>
  <c r="O106" i="21" s="1"/>
  <c r="J106" i="21"/>
  <c r="N106" i="21" s="1"/>
  <c r="H106" i="21"/>
  <c r="G106" i="21"/>
  <c r="F106" i="21"/>
  <c r="L105" i="21"/>
  <c r="P105" i="21" s="1"/>
  <c r="K105" i="21"/>
  <c r="O105" i="21" s="1"/>
  <c r="J105" i="21"/>
  <c r="N105" i="21" s="1"/>
  <c r="H105" i="21"/>
  <c r="G105" i="21"/>
  <c r="F105" i="21"/>
  <c r="L104" i="21"/>
  <c r="P104" i="21" s="1"/>
  <c r="K104" i="21"/>
  <c r="O104" i="21" s="1"/>
  <c r="J104" i="21"/>
  <c r="N104" i="21" s="1"/>
  <c r="H104" i="21"/>
  <c r="G104" i="21"/>
  <c r="F104" i="21"/>
  <c r="L103" i="21"/>
  <c r="P103" i="21" s="1"/>
  <c r="K103" i="21"/>
  <c r="O103" i="21" s="1"/>
  <c r="J103" i="21"/>
  <c r="N103" i="21" s="1"/>
  <c r="R103" i="21" s="1"/>
  <c r="H103" i="21"/>
  <c r="G103" i="21"/>
  <c r="F103" i="21"/>
  <c r="L102" i="21"/>
  <c r="P102" i="21" s="1"/>
  <c r="T102" i="21" s="1"/>
  <c r="K102" i="21"/>
  <c r="O102" i="21" s="1"/>
  <c r="J102" i="21"/>
  <c r="N102" i="21" s="1"/>
  <c r="H102" i="21"/>
  <c r="G102" i="21"/>
  <c r="F102" i="21"/>
  <c r="L101" i="21"/>
  <c r="P101" i="21" s="1"/>
  <c r="T101" i="21" s="1"/>
  <c r="K101" i="21"/>
  <c r="O101" i="21" s="1"/>
  <c r="J101" i="21"/>
  <c r="N101" i="21" s="1"/>
  <c r="H101" i="21"/>
  <c r="G101" i="21"/>
  <c r="F101" i="21"/>
  <c r="L100" i="21"/>
  <c r="P100" i="21" s="1"/>
  <c r="K100" i="21"/>
  <c r="O100" i="21" s="1"/>
  <c r="J100" i="21"/>
  <c r="N100" i="21" s="1"/>
  <c r="H100" i="21"/>
  <c r="G100" i="21"/>
  <c r="F100" i="21"/>
  <c r="L99" i="21"/>
  <c r="P99" i="21" s="1"/>
  <c r="K99" i="21"/>
  <c r="O99" i="21" s="1"/>
  <c r="J99" i="21"/>
  <c r="N99" i="21" s="1"/>
  <c r="H99" i="21"/>
  <c r="G99" i="21"/>
  <c r="F99" i="21"/>
  <c r="L98" i="21"/>
  <c r="P98" i="21" s="1"/>
  <c r="K98" i="21"/>
  <c r="O98" i="21" s="1"/>
  <c r="J98" i="21"/>
  <c r="N98" i="21" s="1"/>
  <c r="H98" i="21"/>
  <c r="G98" i="21"/>
  <c r="F98" i="21"/>
  <c r="L97" i="21"/>
  <c r="P97" i="21" s="1"/>
  <c r="K97" i="21"/>
  <c r="O97" i="21" s="1"/>
  <c r="J97" i="21"/>
  <c r="N97" i="21" s="1"/>
  <c r="H97" i="21"/>
  <c r="G97" i="21"/>
  <c r="F97" i="21"/>
  <c r="L96" i="21"/>
  <c r="P96" i="21" s="1"/>
  <c r="K96" i="21"/>
  <c r="O96" i="21" s="1"/>
  <c r="J96" i="21"/>
  <c r="N96" i="21" s="1"/>
  <c r="H96" i="21"/>
  <c r="G96" i="21"/>
  <c r="F96" i="21"/>
  <c r="L95" i="21"/>
  <c r="P95" i="21" s="1"/>
  <c r="K95" i="21"/>
  <c r="O95" i="21" s="1"/>
  <c r="J95" i="21"/>
  <c r="N95" i="21" s="1"/>
  <c r="H95" i="21"/>
  <c r="G95" i="21"/>
  <c r="F95" i="21"/>
  <c r="L94" i="21"/>
  <c r="P94" i="21" s="1"/>
  <c r="T94" i="21" s="1"/>
  <c r="K94" i="21"/>
  <c r="O94" i="21" s="1"/>
  <c r="J94" i="21"/>
  <c r="N94" i="21" s="1"/>
  <c r="H94" i="21"/>
  <c r="G94" i="21"/>
  <c r="F94" i="21"/>
  <c r="L93" i="21"/>
  <c r="P93" i="21" s="1"/>
  <c r="T93" i="21" s="1"/>
  <c r="K93" i="21"/>
  <c r="O93" i="21" s="1"/>
  <c r="J93" i="21"/>
  <c r="N93" i="21" s="1"/>
  <c r="H93" i="21"/>
  <c r="G93" i="21"/>
  <c r="F93" i="21"/>
  <c r="L92" i="21"/>
  <c r="P92" i="21" s="1"/>
  <c r="K92" i="21"/>
  <c r="O92" i="21" s="1"/>
  <c r="J92" i="21"/>
  <c r="N92" i="21" s="1"/>
  <c r="H92" i="21"/>
  <c r="G92" i="21"/>
  <c r="F92" i="21"/>
  <c r="L91" i="21"/>
  <c r="P91" i="21" s="1"/>
  <c r="K91" i="21"/>
  <c r="O91" i="21" s="1"/>
  <c r="S91" i="21" s="1"/>
  <c r="J91" i="21"/>
  <c r="N91" i="21" s="1"/>
  <c r="H91" i="21"/>
  <c r="G91" i="21"/>
  <c r="F91" i="21"/>
  <c r="L90" i="21"/>
  <c r="P90" i="21" s="1"/>
  <c r="K90" i="21"/>
  <c r="O90" i="21" s="1"/>
  <c r="J90" i="21"/>
  <c r="N90" i="21" s="1"/>
  <c r="H90" i="21"/>
  <c r="G90" i="21"/>
  <c r="F90" i="21"/>
  <c r="L89" i="21"/>
  <c r="P89" i="21" s="1"/>
  <c r="K89" i="21"/>
  <c r="O89" i="21" s="1"/>
  <c r="J89" i="21"/>
  <c r="N89" i="21" s="1"/>
  <c r="H89" i="21"/>
  <c r="G89" i="21"/>
  <c r="F89" i="21"/>
  <c r="L88" i="21"/>
  <c r="P88" i="21" s="1"/>
  <c r="K88" i="21"/>
  <c r="O88" i="21" s="1"/>
  <c r="J88" i="21"/>
  <c r="N88" i="21" s="1"/>
  <c r="H88" i="21"/>
  <c r="G88" i="21"/>
  <c r="F88" i="21"/>
  <c r="L87" i="21"/>
  <c r="P87" i="21" s="1"/>
  <c r="K87" i="21"/>
  <c r="O87" i="21" s="1"/>
  <c r="J87" i="21"/>
  <c r="N87" i="21" s="1"/>
  <c r="H87" i="21"/>
  <c r="G87" i="21"/>
  <c r="F87" i="21"/>
  <c r="L86" i="21"/>
  <c r="P86" i="21" s="1"/>
  <c r="K86" i="21"/>
  <c r="O86" i="21" s="1"/>
  <c r="J86" i="21"/>
  <c r="N86" i="21" s="1"/>
  <c r="H86" i="21"/>
  <c r="G86" i="21"/>
  <c r="F86" i="21"/>
  <c r="L85" i="21"/>
  <c r="P85" i="21" s="1"/>
  <c r="K85" i="21"/>
  <c r="O85" i="21" s="1"/>
  <c r="J85" i="21"/>
  <c r="N85" i="21" s="1"/>
  <c r="H85" i="21"/>
  <c r="G85" i="21"/>
  <c r="F85" i="21"/>
  <c r="L84" i="21"/>
  <c r="P84" i="21" s="1"/>
  <c r="K84" i="21"/>
  <c r="O84" i="21" s="1"/>
  <c r="J84" i="21"/>
  <c r="N84" i="21" s="1"/>
  <c r="H84" i="21"/>
  <c r="G84" i="21"/>
  <c r="F84" i="21"/>
  <c r="L83" i="21"/>
  <c r="P83" i="21" s="1"/>
  <c r="K83" i="21"/>
  <c r="O83" i="21" s="1"/>
  <c r="J83" i="21"/>
  <c r="N83" i="21" s="1"/>
  <c r="H83" i="21"/>
  <c r="G83" i="21"/>
  <c r="F83" i="21"/>
  <c r="L82" i="21"/>
  <c r="P82" i="21" s="1"/>
  <c r="K82" i="21"/>
  <c r="O82" i="21" s="1"/>
  <c r="J82" i="21"/>
  <c r="N82" i="21" s="1"/>
  <c r="H82" i="21"/>
  <c r="G82" i="21"/>
  <c r="F82" i="21"/>
  <c r="L81" i="21"/>
  <c r="P81" i="21" s="1"/>
  <c r="K81" i="21"/>
  <c r="O81" i="21" s="1"/>
  <c r="J81" i="21"/>
  <c r="N81" i="21" s="1"/>
  <c r="H81" i="21"/>
  <c r="G81" i="21"/>
  <c r="F81" i="21"/>
  <c r="L80" i="21"/>
  <c r="P80" i="21" s="1"/>
  <c r="K80" i="21"/>
  <c r="O80" i="21" s="1"/>
  <c r="J80" i="21"/>
  <c r="N80" i="21" s="1"/>
  <c r="H80" i="21"/>
  <c r="G80" i="21"/>
  <c r="F80" i="21"/>
  <c r="L79" i="21"/>
  <c r="P79" i="21" s="1"/>
  <c r="K79" i="21"/>
  <c r="O79" i="21" s="1"/>
  <c r="J79" i="21"/>
  <c r="N79" i="21" s="1"/>
  <c r="H79" i="21"/>
  <c r="G79" i="21"/>
  <c r="F79" i="21"/>
  <c r="L78" i="21"/>
  <c r="P78" i="21" s="1"/>
  <c r="K78" i="21"/>
  <c r="O78" i="21" s="1"/>
  <c r="J78" i="21"/>
  <c r="N78" i="21" s="1"/>
  <c r="H78" i="21"/>
  <c r="G78" i="21"/>
  <c r="F78" i="21"/>
  <c r="L77" i="21"/>
  <c r="P77" i="21" s="1"/>
  <c r="K77" i="21"/>
  <c r="O77" i="21" s="1"/>
  <c r="J77" i="21"/>
  <c r="N77" i="21" s="1"/>
  <c r="H77" i="21"/>
  <c r="G77" i="21"/>
  <c r="F77" i="21"/>
  <c r="L76" i="21"/>
  <c r="P76" i="21" s="1"/>
  <c r="K76" i="21"/>
  <c r="O76" i="21" s="1"/>
  <c r="J76" i="21"/>
  <c r="N76" i="21" s="1"/>
  <c r="H76" i="21"/>
  <c r="G76" i="21"/>
  <c r="F76" i="21"/>
  <c r="L75" i="21"/>
  <c r="P75" i="21" s="1"/>
  <c r="T75" i="21" s="1"/>
  <c r="K75" i="21"/>
  <c r="O75" i="21" s="1"/>
  <c r="J75" i="21"/>
  <c r="N75" i="21" s="1"/>
  <c r="H75" i="21"/>
  <c r="G75" i="21"/>
  <c r="F75" i="21"/>
  <c r="L74" i="21"/>
  <c r="P74" i="21" s="1"/>
  <c r="K74" i="21"/>
  <c r="O74" i="21" s="1"/>
  <c r="J74" i="21"/>
  <c r="N74" i="21" s="1"/>
  <c r="R74" i="21" s="1"/>
  <c r="H74" i="21"/>
  <c r="G74" i="21"/>
  <c r="F74" i="21"/>
  <c r="L73" i="21"/>
  <c r="P73" i="21" s="1"/>
  <c r="K73" i="21"/>
  <c r="O73" i="21" s="1"/>
  <c r="J73" i="21"/>
  <c r="N73" i="21" s="1"/>
  <c r="H73" i="21"/>
  <c r="G73" i="21"/>
  <c r="F73" i="21"/>
  <c r="L72" i="21"/>
  <c r="P72" i="21" s="1"/>
  <c r="T72" i="21" s="1"/>
  <c r="K72" i="21"/>
  <c r="O72" i="21" s="1"/>
  <c r="J72" i="21"/>
  <c r="N72" i="21" s="1"/>
  <c r="H72" i="21"/>
  <c r="G72" i="21"/>
  <c r="F72" i="21"/>
  <c r="L71" i="21"/>
  <c r="P71" i="21" s="1"/>
  <c r="K71" i="21"/>
  <c r="O71" i="21" s="1"/>
  <c r="J71" i="21"/>
  <c r="N71" i="21" s="1"/>
  <c r="H71" i="21"/>
  <c r="G71" i="21"/>
  <c r="F71" i="21"/>
  <c r="L70" i="21"/>
  <c r="P70" i="21" s="1"/>
  <c r="K70" i="21"/>
  <c r="O70" i="21" s="1"/>
  <c r="J70" i="21"/>
  <c r="N70" i="21" s="1"/>
  <c r="H70" i="21"/>
  <c r="G70" i="21"/>
  <c r="F70" i="21"/>
  <c r="L69" i="21"/>
  <c r="P69" i="21" s="1"/>
  <c r="K69" i="21"/>
  <c r="O69" i="21" s="1"/>
  <c r="J69" i="21"/>
  <c r="N69" i="21" s="1"/>
  <c r="H69" i="21"/>
  <c r="G69" i="21"/>
  <c r="F69" i="21"/>
  <c r="L68" i="21"/>
  <c r="P68" i="21" s="1"/>
  <c r="K68" i="21"/>
  <c r="O68" i="21" s="1"/>
  <c r="J68" i="21"/>
  <c r="N68" i="21" s="1"/>
  <c r="H68" i="21"/>
  <c r="G68" i="21"/>
  <c r="F68" i="21"/>
  <c r="L67" i="21"/>
  <c r="P67" i="21" s="1"/>
  <c r="K67" i="21"/>
  <c r="O67" i="21" s="1"/>
  <c r="J67" i="21"/>
  <c r="N67" i="21" s="1"/>
  <c r="H67" i="21"/>
  <c r="G67" i="21"/>
  <c r="F67" i="21"/>
  <c r="L66" i="21"/>
  <c r="P66" i="21" s="1"/>
  <c r="K66" i="21"/>
  <c r="O66" i="21" s="1"/>
  <c r="J66" i="21"/>
  <c r="N66" i="21" s="1"/>
  <c r="H66" i="21"/>
  <c r="G66" i="21"/>
  <c r="F66" i="21"/>
  <c r="L65" i="21"/>
  <c r="P65" i="21" s="1"/>
  <c r="T65" i="21" s="1"/>
  <c r="K65" i="21"/>
  <c r="O65" i="21" s="1"/>
  <c r="S65" i="21" s="1"/>
  <c r="J65" i="21"/>
  <c r="N65" i="21" s="1"/>
  <c r="H65" i="21"/>
  <c r="G65" i="21"/>
  <c r="F65" i="21"/>
  <c r="L64" i="21"/>
  <c r="P64" i="21" s="1"/>
  <c r="K64" i="21"/>
  <c r="O64" i="21" s="1"/>
  <c r="J64" i="21"/>
  <c r="N64" i="21" s="1"/>
  <c r="H64" i="21"/>
  <c r="G64" i="21"/>
  <c r="F64" i="21"/>
  <c r="L63" i="21"/>
  <c r="P63" i="21" s="1"/>
  <c r="K63" i="21"/>
  <c r="O63" i="21" s="1"/>
  <c r="J63" i="21"/>
  <c r="N63" i="21" s="1"/>
  <c r="H63" i="21"/>
  <c r="G63" i="21"/>
  <c r="F63" i="21"/>
  <c r="L62" i="21"/>
  <c r="P62" i="21" s="1"/>
  <c r="K62" i="21"/>
  <c r="O62" i="21" s="1"/>
  <c r="J62" i="21"/>
  <c r="N62" i="21" s="1"/>
  <c r="H62" i="21"/>
  <c r="G62" i="21"/>
  <c r="F62" i="21"/>
  <c r="L61" i="21"/>
  <c r="P61" i="21" s="1"/>
  <c r="K61" i="21"/>
  <c r="O61" i="21" s="1"/>
  <c r="J61" i="21"/>
  <c r="N61" i="21" s="1"/>
  <c r="H61" i="21"/>
  <c r="G61" i="21"/>
  <c r="F61" i="21"/>
  <c r="L60" i="21"/>
  <c r="P60" i="21" s="1"/>
  <c r="K60" i="21"/>
  <c r="O60" i="21" s="1"/>
  <c r="J60" i="21"/>
  <c r="N60" i="21" s="1"/>
  <c r="H60" i="21"/>
  <c r="G60" i="21"/>
  <c r="F60" i="21"/>
  <c r="L59" i="21"/>
  <c r="P59" i="21" s="1"/>
  <c r="K59" i="21"/>
  <c r="O59" i="21" s="1"/>
  <c r="J59" i="21"/>
  <c r="N59" i="21" s="1"/>
  <c r="H59" i="21"/>
  <c r="G59" i="21"/>
  <c r="F59" i="21"/>
  <c r="L58" i="21"/>
  <c r="P58" i="21" s="1"/>
  <c r="K58" i="21"/>
  <c r="O58" i="21" s="1"/>
  <c r="J58" i="21"/>
  <c r="N58" i="21" s="1"/>
  <c r="H58" i="21"/>
  <c r="G58" i="21"/>
  <c r="F58" i="21"/>
  <c r="L57" i="21"/>
  <c r="P57" i="21" s="1"/>
  <c r="K57" i="21"/>
  <c r="O57" i="21" s="1"/>
  <c r="J57" i="21"/>
  <c r="N57" i="21" s="1"/>
  <c r="H57" i="21"/>
  <c r="G57" i="21"/>
  <c r="F57" i="21"/>
  <c r="L56" i="21"/>
  <c r="P56" i="21" s="1"/>
  <c r="K56" i="21"/>
  <c r="O56" i="21" s="1"/>
  <c r="J56" i="21"/>
  <c r="N56" i="21" s="1"/>
  <c r="H56" i="21"/>
  <c r="G56" i="21"/>
  <c r="F56" i="21"/>
  <c r="L55" i="21"/>
  <c r="P55" i="21" s="1"/>
  <c r="K55" i="21"/>
  <c r="O55" i="21" s="1"/>
  <c r="J55" i="21"/>
  <c r="N55" i="21" s="1"/>
  <c r="H55" i="21"/>
  <c r="G55" i="21"/>
  <c r="F55" i="21"/>
  <c r="L54" i="21"/>
  <c r="P54" i="21" s="1"/>
  <c r="K54" i="21"/>
  <c r="O54" i="21" s="1"/>
  <c r="J54" i="21"/>
  <c r="N54" i="21" s="1"/>
  <c r="H54" i="21"/>
  <c r="G54" i="21"/>
  <c r="F54" i="21"/>
  <c r="L53" i="21"/>
  <c r="P53" i="21" s="1"/>
  <c r="K53" i="21"/>
  <c r="O53" i="21" s="1"/>
  <c r="J53" i="21"/>
  <c r="N53" i="21" s="1"/>
  <c r="H53" i="21"/>
  <c r="G53" i="21"/>
  <c r="F53" i="21"/>
  <c r="L52" i="21"/>
  <c r="P52" i="21" s="1"/>
  <c r="K52" i="21"/>
  <c r="O52" i="21" s="1"/>
  <c r="J52" i="21"/>
  <c r="N52" i="21" s="1"/>
  <c r="R52" i="21" s="1"/>
  <c r="H52" i="21"/>
  <c r="G52" i="21"/>
  <c r="F52" i="21"/>
  <c r="L51" i="21"/>
  <c r="P51" i="21" s="1"/>
  <c r="K51" i="21"/>
  <c r="O51" i="21" s="1"/>
  <c r="J51" i="21"/>
  <c r="N51" i="21" s="1"/>
  <c r="H51" i="21"/>
  <c r="G51" i="21"/>
  <c r="F51" i="21"/>
  <c r="L50" i="21"/>
  <c r="P50" i="21" s="1"/>
  <c r="K50" i="21"/>
  <c r="O50" i="21" s="1"/>
  <c r="J50" i="21"/>
  <c r="N50" i="21" s="1"/>
  <c r="H50" i="21"/>
  <c r="G50" i="21"/>
  <c r="F50" i="21"/>
  <c r="L49" i="21"/>
  <c r="P49" i="21" s="1"/>
  <c r="K49" i="21"/>
  <c r="O49" i="21" s="1"/>
  <c r="S49" i="21" s="1"/>
  <c r="J49" i="21"/>
  <c r="N49" i="21" s="1"/>
  <c r="H49" i="21"/>
  <c r="G49" i="21"/>
  <c r="F49" i="21"/>
  <c r="L48" i="21"/>
  <c r="P48" i="21" s="1"/>
  <c r="T48" i="21" s="1"/>
  <c r="K48" i="21"/>
  <c r="O48" i="21" s="1"/>
  <c r="J48" i="21"/>
  <c r="N48" i="21" s="1"/>
  <c r="H48" i="21"/>
  <c r="G48" i="21"/>
  <c r="F48" i="21"/>
  <c r="L47" i="21"/>
  <c r="P47" i="21" s="1"/>
  <c r="K47" i="21"/>
  <c r="O47" i="21" s="1"/>
  <c r="J47" i="21"/>
  <c r="N47" i="21" s="1"/>
  <c r="H47" i="21"/>
  <c r="G47" i="21"/>
  <c r="F47" i="21"/>
  <c r="L46" i="21"/>
  <c r="P46" i="21" s="1"/>
  <c r="K46" i="21"/>
  <c r="O46" i="21" s="1"/>
  <c r="J46" i="21"/>
  <c r="N46" i="21" s="1"/>
  <c r="H46" i="21"/>
  <c r="G46" i="21"/>
  <c r="F46" i="21"/>
  <c r="L45" i="21"/>
  <c r="P45" i="21" s="1"/>
  <c r="K45" i="21"/>
  <c r="O45" i="21" s="1"/>
  <c r="J45" i="21"/>
  <c r="N45" i="21" s="1"/>
  <c r="H45" i="21"/>
  <c r="G45" i="21"/>
  <c r="F45" i="21"/>
  <c r="L44" i="21"/>
  <c r="P44" i="21" s="1"/>
  <c r="K44" i="21"/>
  <c r="O44" i="21" s="1"/>
  <c r="J44" i="21"/>
  <c r="N44" i="21" s="1"/>
  <c r="H44" i="21"/>
  <c r="G44" i="21"/>
  <c r="F44" i="21"/>
  <c r="L43" i="21"/>
  <c r="P43" i="21" s="1"/>
  <c r="K43" i="21"/>
  <c r="O43" i="21" s="1"/>
  <c r="J43" i="21"/>
  <c r="N43" i="21" s="1"/>
  <c r="H43" i="21"/>
  <c r="G43" i="21"/>
  <c r="F43" i="21"/>
  <c r="L42" i="21"/>
  <c r="P42" i="21" s="1"/>
  <c r="K42" i="21"/>
  <c r="O42" i="21" s="1"/>
  <c r="J42" i="21"/>
  <c r="N42" i="21" s="1"/>
  <c r="H42" i="21"/>
  <c r="G42" i="21"/>
  <c r="F42" i="21"/>
  <c r="L41" i="21"/>
  <c r="P41" i="21" s="1"/>
  <c r="K41" i="21"/>
  <c r="O41" i="21" s="1"/>
  <c r="J41" i="21"/>
  <c r="N41" i="21" s="1"/>
  <c r="H41" i="21"/>
  <c r="G41" i="21"/>
  <c r="F41" i="21"/>
  <c r="L40" i="21"/>
  <c r="P40" i="21" s="1"/>
  <c r="T40" i="21" s="1"/>
  <c r="K40" i="21"/>
  <c r="O40" i="21" s="1"/>
  <c r="J40" i="21"/>
  <c r="N40" i="21" s="1"/>
  <c r="H40" i="21"/>
  <c r="G40" i="21"/>
  <c r="F40" i="21"/>
  <c r="L39" i="21"/>
  <c r="P39" i="21" s="1"/>
  <c r="K39" i="21"/>
  <c r="O39" i="21" s="1"/>
  <c r="J39" i="21"/>
  <c r="N39" i="21" s="1"/>
  <c r="H39" i="21"/>
  <c r="G39" i="21"/>
  <c r="F39" i="21"/>
  <c r="L38" i="21"/>
  <c r="P38" i="21" s="1"/>
  <c r="K38" i="21"/>
  <c r="O38" i="21" s="1"/>
  <c r="J38" i="21"/>
  <c r="N38" i="21" s="1"/>
  <c r="H38" i="21"/>
  <c r="G38" i="21"/>
  <c r="F38" i="21"/>
  <c r="L37" i="21"/>
  <c r="P37" i="21" s="1"/>
  <c r="K37" i="21"/>
  <c r="O37" i="21" s="1"/>
  <c r="J37" i="21"/>
  <c r="N37" i="21" s="1"/>
  <c r="H37" i="21"/>
  <c r="G37" i="21"/>
  <c r="F37" i="21"/>
  <c r="L36" i="21"/>
  <c r="P36" i="21" s="1"/>
  <c r="K36" i="21"/>
  <c r="O36" i="21" s="1"/>
  <c r="J36" i="21"/>
  <c r="N36" i="21" s="1"/>
  <c r="H36" i="21"/>
  <c r="G36" i="21"/>
  <c r="F36" i="21"/>
  <c r="L35" i="21"/>
  <c r="P35" i="21" s="1"/>
  <c r="K35" i="21"/>
  <c r="O35" i="21" s="1"/>
  <c r="J35" i="21"/>
  <c r="N35" i="21" s="1"/>
  <c r="H35" i="21"/>
  <c r="G35" i="21"/>
  <c r="F35" i="21"/>
  <c r="L34" i="21"/>
  <c r="P34" i="21" s="1"/>
  <c r="K34" i="21"/>
  <c r="O34" i="21" s="1"/>
  <c r="J34" i="21"/>
  <c r="N34" i="21" s="1"/>
  <c r="H34" i="21"/>
  <c r="G34" i="21"/>
  <c r="F34" i="21"/>
  <c r="L33" i="21"/>
  <c r="P33" i="21" s="1"/>
  <c r="K33" i="21"/>
  <c r="O33" i="21" s="1"/>
  <c r="J33" i="21"/>
  <c r="N33" i="21" s="1"/>
  <c r="H33" i="21"/>
  <c r="G33" i="21"/>
  <c r="F33" i="21"/>
  <c r="L32" i="21"/>
  <c r="P32" i="21" s="1"/>
  <c r="K32" i="21"/>
  <c r="O32" i="21" s="1"/>
  <c r="J32" i="21"/>
  <c r="N32" i="21" s="1"/>
  <c r="H32" i="21"/>
  <c r="G32" i="21"/>
  <c r="F32" i="21"/>
  <c r="L31" i="21"/>
  <c r="P31" i="21" s="1"/>
  <c r="K31" i="21"/>
  <c r="O31" i="21" s="1"/>
  <c r="J31" i="21"/>
  <c r="N31" i="21" s="1"/>
  <c r="H31" i="21"/>
  <c r="G31" i="21"/>
  <c r="F31" i="21"/>
  <c r="L30" i="21"/>
  <c r="P30" i="21" s="1"/>
  <c r="K30" i="21"/>
  <c r="O30" i="21" s="1"/>
  <c r="J30" i="21"/>
  <c r="N30" i="21" s="1"/>
  <c r="H30" i="21"/>
  <c r="G30" i="21"/>
  <c r="F30" i="21"/>
  <c r="L29" i="21"/>
  <c r="P29" i="21" s="1"/>
  <c r="K29" i="21"/>
  <c r="O29" i="21" s="1"/>
  <c r="J29" i="21"/>
  <c r="N29" i="21" s="1"/>
  <c r="R29" i="21" s="1"/>
  <c r="H29" i="21"/>
  <c r="G29" i="21"/>
  <c r="F29" i="21"/>
  <c r="L28" i="21"/>
  <c r="P28" i="21" s="1"/>
  <c r="K28" i="21"/>
  <c r="O28" i="21" s="1"/>
  <c r="J28" i="21"/>
  <c r="N28" i="21" s="1"/>
  <c r="H28" i="21"/>
  <c r="G28" i="21"/>
  <c r="F28" i="21"/>
  <c r="L27" i="21"/>
  <c r="P27" i="21" s="1"/>
  <c r="K27" i="21"/>
  <c r="O27" i="21" s="1"/>
  <c r="J27" i="21"/>
  <c r="N27" i="21" s="1"/>
  <c r="H27" i="21"/>
  <c r="G27" i="21"/>
  <c r="F27" i="21"/>
  <c r="L26" i="21"/>
  <c r="P26" i="21" s="1"/>
  <c r="K26" i="21"/>
  <c r="O26" i="21" s="1"/>
  <c r="J26" i="21"/>
  <c r="N26" i="21" s="1"/>
  <c r="H26" i="21"/>
  <c r="G26" i="21"/>
  <c r="F26" i="21"/>
  <c r="L25" i="21"/>
  <c r="P25" i="21" s="1"/>
  <c r="K25" i="21"/>
  <c r="O25" i="21" s="1"/>
  <c r="J25" i="21"/>
  <c r="N25" i="21" s="1"/>
  <c r="R25" i="21" s="1"/>
  <c r="H25" i="21"/>
  <c r="G25" i="21"/>
  <c r="F25" i="21"/>
  <c r="L24" i="21"/>
  <c r="P24" i="21" s="1"/>
  <c r="K24" i="21"/>
  <c r="O24" i="21" s="1"/>
  <c r="S24" i="21" s="1"/>
  <c r="J24" i="21"/>
  <c r="N24" i="21" s="1"/>
  <c r="H24" i="21"/>
  <c r="G24" i="21"/>
  <c r="F24" i="21"/>
  <c r="L23" i="21"/>
  <c r="P23" i="21" s="1"/>
  <c r="K23" i="21"/>
  <c r="O23" i="21" s="1"/>
  <c r="S23" i="21" s="1"/>
  <c r="J23" i="21"/>
  <c r="N23" i="21" s="1"/>
  <c r="H23" i="21"/>
  <c r="G23" i="21"/>
  <c r="F23" i="21"/>
  <c r="L22" i="21"/>
  <c r="P22" i="21" s="1"/>
  <c r="K22" i="21"/>
  <c r="O22" i="21" s="1"/>
  <c r="J22" i="21"/>
  <c r="N22" i="21" s="1"/>
  <c r="H22" i="21"/>
  <c r="G22" i="21"/>
  <c r="F22" i="21"/>
  <c r="L21" i="21"/>
  <c r="P21" i="21" s="1"/>
  <c r="K21" i="21"/>
  <c r="O21" i="21" s="1"/>
  <c r="J21" i="21"/>
  <c r="N21" i="21" s="1"/>
  <c r="R21" i="21" s="1"/>
  <c r="H21" i="21"/>
  <c r="G21" i="21"/>
  <c r="F21" i="21"/>
  <c r="L20" i="21"/>
  <c r="P20" i="21" s="1"/>
  <c r="K20" i="21"/>
  <c r="O20" i="21" s="1"/>
  <c r="J20" i="21"/>
  <c r="N20" i="21" s="1"/>
  <c r="H20" i="21"/>
  <c r="G20" i="21"/>
  <c r="F20" i="21"/>
  <c r="L19" i="21"/>
  <c r="P19" i="21" s="1"/>
  <c r="K19" i="21"/>
  <c r="O19" i="21" s="1"/>
  <c r="S19" i="21" s="1"/>
  <c r="J19" i="21"/>
  <c r="N19" i="21" s="1"/>
  <c r="H19" i="21"/>
  <c r="G19" i="21"/>
  <c r="F19" i="21"/>
  <c r="L18" i="21"/>
  <c r="P18" i="21" s="1"/>
  <c r="K18" i="21"/>
  <c r="O18" i="21" s="1"/>
  <c r="J18" i="21"/>
  <c r="N18" i="21" s="1"/>
  <c r="H18" i="21"/>
  <c r="G18" i="21"/>
  <c r="F18" i="21"/>
  <c r="L17" i="21"/>
  <c r="P17" i="21" s="1"/>
  <c r="K17" i="21"/>
  <c r="O17" i="21" s="1"/>
  <c r="J17" i="21"/>
  <c r="N17" i="21" s="1"/>
  <c r="H17" i="21"/>
  <c r="G17" i="21"/>
  <c r="F17" i="21"/>
  <c r="L16" i="21"/>
  <c r="P16" i="21" s="1"/>
  <c r="K16" i="21"/>
  <c r="O16" i="21" s="1"/>
  <c r="S16" i="21" s="1"/>
  <c r="J16" i="21"/>
  <c r="N16" i="21" s="1"/>
  <c r="H16" i="21"/>
  <c r="G16" i="21"/>
  <c r="F16" i="21"/>
  <c r="L15" i="21"/>
  <c r="P15" i="21" s="1"/>
  <c r="T15" i="21" s="1"/>
  <c r="K15" i="21"/>
  <c r="O15" i="21" s="1"/>
  <c r="S15" i="21" s="1"/>
  <c r="J15" i="21"/>
  <c r="N15" i="21" s="1"/>
  <c r="H15" i="21"/>
  <c r="G15" i="21"/>
  <c r="F15" i="21"/>
  <c r="L14" i="21"/>
  <c r="P14" i="21" s="1"/>
  <c r="K14" i="21"/>
  <c r="O14" i="21" s="1"/>
  <c r="J14" i="21"/>
  <c r="N14" i="21" s="1"/>
  <c r="H14" i="21"/>
  <c r="G14" i="21"/>
  <c r="F14" i="21"/>
  <c r="L13" i="21"/>
  <c r="P13" i="21" s="1"/>
  <c r="K13" i="21"/>
  <c r="O13" i="21" s="1"/>
  <c r="J13" i="21"/>
  <c r="N13" i="21" s="1"/>
  <c r="R13" i="21" s="1"/>
  <c r="H13" i="21"/>
  <c r="G13" i="21"/>
  <c r="F13" i="21"/>
  <c r="L12" i="21"/>
  <c r="P12" i="21" s="1"/>
  <c r="K12" i="21"/>
  <c r="O12" i="21" s="1"/>
  <c r="J12" i="21"/>
  <c r="N12" i="21" s="1"/>
  <c r="H12" i="21"/>
  <c r="G12" i="21"/>
  <c r="F12" i="21"/>
  <c r="L11" i="21"/>
  <c r="P11" i="21" s="1"/>
  <c r="K11" i="21"/>
  <c r="O11" i="21" s="1"/>
  <c r="J11" i="21"/>
  <c r="N11" i="21" s="1"/>
  <c r="H11" i="21"/>
  <c r="G11" i="21"/>
  <c r="F11" i="21"/>
  <c r="L10" i="21"/>
  <c r="P10" i="21" s="1"/>
  <c r="T10" i="21" s="1"/>
  <c r="K10" i="21"/>
  <c r="O10" i="21" s="1"/>
  <c r="J10" i="21"/>
  <c r="N10" i="21" s="1"/>
  <c r="H10" i="21"/>
  <c r="G10" i="21"/>
  <c r="F10" i="21"/>
  <c r="L9" i="21"/>
  <c r="P9" i="21" s="1"/>
  <c r="K9" i="21"/>
  <c r="O9" i="21" s="1"/>
  <c r="S9" i="21" s="1"/>
  <c r="J9" i="21"/>
  <c r="N9" i="21" s="1"/>
  <c r="H9" i="21"/>
  <c r="G9" i="21"/>
  <c r="F9" i="21"/>
  <c r="L8" i="21"/>
  <c r="P8" i="21" s="1"/>
  <c r="K8" i="21"/>
  <c r="O8" i="21" s="1"/>
  <c r="J8" i="21"/>
  <c r="N8" i="21" s="1"/>
  <c r="H8" i="21"/>
  <c r="G8" i="21"/>
  <c r="F8" i="21"/>
  <c r="L7" i="21"/>
  <c r="P7" i="21" s="1"/>
  <c r="K7" i="21"/>
  <c r="O7" i="21" s="1"/>
  <c r="J7" i="21"/>
  <c r="N7" i="21" s="1"/>
  <c r="H7" i="21"/>
  <c r="G7" i="21"/>
  <c r="F7" i="21"/>
  <c r="K6" i="21"/>
  <c r="O6" i="21" s="1"/>
  <c r="J6" i="21"/>
  <c r="N6" i="21" s="1"/>
  <c r="G6" i="21"/>
  <c r="F6" i="21"/>
  <c r="L5" i="21"/>
  <c r="P5" i="21" s="1"/>
  <c r="T5" i="21" s="1"/>
  <c r="K5" i="21"/>
  <c r="O5" i="21" s="1"/>
  <c r="S5" i="21" s="1"/>
  <c r="J5" i="21"/>
  <c r="N5" i="21" s="1"/>
  <c r="R5" i="21" s="1"/>
  <c r="AD123" i="11"/>
  <c r="AD124" i="11"/>
  <c r="AD115" i="11"/>
  <c r="AD116" i="11"/>
  <c r="AD122" i="11"/>
  <c r="AD121" i="11"/>
  <c r="AD120" i="11"/>
  <c r="AD119" i="11"/>
  <c r="AD118" i="11"/>
  <c r="AD114" i="11"/>
  <c r="AD113" i="11"/>
  <c r="AD112" i="11"/>
  <c r="AD111" i="11"/>
  <c r="AD110" i="11"/>
  <c r="AD105" i="11"/>
  <c r="AD106" i="11"/>
  <c r="AD107" i="11"/>
  <c r="AD108" i="11"/>
  <c r="AD104" i="11"/>
  <c r="AD93" i="11"/>
  <c r="AD94" i="11"/>
  <c r="AD95" i="11"/>
  <c r="AD96" i="11"/>
  <c r="AD97" i="11"/>
  <c r="AD98" i="11"/>
  <c r="AD99" i="11"/>
  <c r="AD100" i="11"/>
  <c r="AD101" i="11"/>
  <c r="AD102" i="11"/>
  <c r="AD103" i="11"/>
  <c r="AD92" i="11"/>
  <c r="AD90" i="11"/>
  <c r="AD83" i="11"/>
  <c r="AD84" i="11"/>
  <c r="AD85" i="11"/>
  <c r="AD86" i="11"/>
  <c r="AD87" i="11"/>
  <c r="AD88" i="11"/>
  <c r="AD82" i="11"/>
  <c r="AD81" i="11"/>
  <c r="AD77" i="11"/>
  <c r="AD78" i="11"/>
  <c r="AD79" i="11"/>
  <c r="AD76" i="11"/>
  <c r="AD75" i="11"/>
  <c r="AD74" i="11"/>
  <c r="AD73" i="11"/>
  <c r="AD72" i="11"/>
  <c r="AD71" i="11"/>
  <c r="AD70" i="11"/>
  <c r="AD63" i="11"/>
  <c r="AD64" i="11"/>
  <c r="AD65" i="11"/>
  <c r="AD66" i="11"/>
  <c r="AD67" i="11"/>
  <c r="AD68" i="11"/>
  <c r="AD62" i="11"/>
  <c r="AD61" i="11"/>
  <c r="AD60" i="11"/>
  <c r="AD37" i="11"/>
  <c r="AD38" i="11"/>
  <c r="AD39" i="11"/>
  <c r="AD40" i="11"/>
  <c r="AD41" i="11"/>
  <c r="AD42" i="11"/>
  <c r="AD43" i="11"/>
  <c r="AD44" i="11"/>
  <c r="AD45" i="11"/>
  <c r="AD46" i="11"/>
  <c r="AD47" i="11"/>
  <c r="AD48" i="11"/>
  <c r="AD49" i="11"/>
  <c r="AD50" i="11"/>
  <c r="AD51" i="11"/>
  <c r="AD52" i="11"/>
  <c r="AD53" i="11"/>
  <c r="AD54" i="11"/>
  <c r="AD55" i="11"/>
  <c r="AD56" i="11"/>
  <c r="AD57" i="11"/>
  <c r="AD58" i="11"/>
  <c r="AD36" i="11"/>
  <c r="M10" i="11"/>
  <c r="M70" i="11"/>
  <c r="M71" i="11"/>
  <c r="M72" i="11"/>
  <c r="M73" i="11"/>
  <c r="M9" i="11"/>
  <c r="B6" i="3"/>
  <c r="M12" i="6"/>
  <c r="L4" i="6"/>
  <c r="E5" i="21" l="1"/>
  <c r="I130" i="21"/>
  <c r="I5" i="21"/>
  <c r="M130" i="21"/>
  <c r="Q126" i="21"/>
  <c r="S94" i="21"/>
  <c r="T118" i="21"/>
  <c r="R85" i="21"/>
  <c r="S67" i="21"/>
  <c r="G5" i="21"/>
  <c r="S110" i="21"/>
  <c r="R67" i="21"/>
  <c r="S59" i="21"/>
  <c r="S66" i="21"/>
  <c r="R77" i="21"/>
  <c r="R119" i="21"/>
  <c r="R64" i="21"/>
  <c r="T34" i="21"/>
  <c r="S43" i="21"/>
  <c r="R44" i="21"/>
  <c r="S51" i="21"/>
  <c r="T58" i="21"/>
  <c r="S102" i="21"/>
  <c r="S119" i="21"/>
  <c r="R128" i="21"/>
  <c r="T14" i="21"/>
  <c r="R24" i="21"/>
  <c r="T50" i="21"/>
  <c r="R68" i="21"/>
  <c r="R69" i="21"/>
  <c r="S68" i="21"/>
  <c r="R8" i="21"/>
  <c r="S11" i="21"/>
  <c r="R27" i="21"/>
  <c r="R28" i="21"/>
  <c r="R96" i="21"/>
  <c r="T110" i="21"/>
  <c r="R12" i="21"/>
  <c r="T18" i="21"/>
  <c r="T25" i="21"/>
  <c r="S27" i="21"/>
  <c r="R39" i="21"/>
  <c r="S84" i="21"/>
  <c r="R104" i="21"/>
  <c r="S111" i="21"/>
  <c r="T83" i="21"/>
  <c r="F5" i="21"/>
  <c r="S28" i="21"/>
  <c r="S103" i="21"/>
  <c r="S7" i="21"/>
  <c r="R17" i="21"/>
  <c r="S35" i="21"/>
  <c r="R37" i="21"/>
  <c r="R92" i="21"/>
  <c r="R111" i="21"/>
  <c r="R120" i="21"/>
  <c r="H5" i="21"/>
  <c r="R9" i="21"/>
  <c r="T35" i="21"/>
  <c r="R60" i="21"/>
  <c r="L130" i="21"/>
  <c r="S128" i="21"/>
  <c r="R11" i="21"/>
  <c r="R33" i="21"/>
  <c r="R36" i="21"/>
  <c r="F130" i="21"/>
  <c r="T11" i="21"/>
  <c r="R16" i="21"/>
  <c r="T19" i="21"/>
  <c r="S118" i="21"/>
  <c r="S127" i="21"/>
  <c r="T21" i="21"/>
  <c r="S8" i="21"/>
  <c r="T12" i="21"/>
  <c r="R19" i="21"/>
  <c r="T7" i="21"/>
  <c r="R6" i="21"/>
  <c r="S21" i="21"/>
  <c r="R15" i="21"/>
  <c r="S6" i="21"/>
  <c r="R7" i="21"/>
  <c r="T28" i="21"/>
  <c r="S14" i="21"/>
  <c r="S26" i="21"/>
  <c r="T22" i="21"/>
  <c r="S10" i="21"/>
  <c r="T17" i="21"/>
  <c r="R23" i="21"/>
  <c r="S30" i="21"/>
  <c r="R31" i="21"/>
  <c r="R38" i="21"/>
  <c r="T8" i="21"/>
  <c r="S18" i="21"/>
  <c r="S20" i="21"/>
  <c r="T30" i="21"/>
  <c r="S31" i="21"/>
  <c r="S33" i="21"/>
  <c r="S39" i="21"/>
  <c r="T41" i="21"/>
  <c r="R45" i="21"/>
  <c r="T20" i="21"/>
  <c r="R30" i="21"/>
  <c r="S50" i="21"/>
  <c r="T26" i="21"/>
  <c r="R35" i="21"/>
  <c r="T9" i="21"/>
  <c r="T24" i="21"/>
  <c r="S25" i="21"/>
  <c r="R26" i="21"/>
  <c r="T33" i="21"/>
  <c r="S36" i="21"/>
  <c r="S41" i="21"/>
  <c r="R42" i="21"/>
  <c r="S44" i="21"/>
  <c r="S45" i="21"/>
  <c r="T32" i="21"/>
  <c r="T29" i="21"/>
  <c r="R20" i="21"/>
  <c r="S12" i="21"/>
  <c r="T23" i="21"/>
  <c r="S37" i="21"/>
  <c r="S38" i="21"/>
  <c r="R40" i="21"/>
  <c r="S42" i="21"/>
  <c r="R56" i="21"/>
  <c r="T16" i="21"/>
  <c r="S17" i="21"/>
  <c r="R18" i="21"/>
  <c r="R22" i="21"/>
  <c r="T27" i="21"/>
  <c r="R34" i="21"/>
  <c r="T38" i="21"/>
  <c r="S40" i="21"/>
  <c r="R47" i="21"/>
  <c r="T55" i="21"/>
  <c r="T85" i="21"/>
  <c r="R14" i="21"/>
  <c r="T31" i="21"/>
  <c r="R32" i="21"/>
  <c r="T36" i="21"/>
  <c r="R43" i="21"/>
  <c r="R46" i="21"/>
  <c r="S13" i="21"/>
  <c r="R10" i="21"/>
  <c r="T13" i="21"/>
  <c r="S22" i="21"/>
  <c r="S32" i="21"/>
  <c r="S34" i="21"/>
  <c r="T44" i="21"/>
  <c r="R55" i="21"/>
  <c r="S63" i="21"/>
  <c r="S72" i="21"/>
  <c r="S29" i="21"/>
  <c r="T37" i="21"/>
  <c r="T43" i="21"/>
  <c r="T46" i="21"/>
  <c r="R50" i="21"/>
  <c r="T51" i="21"/>
  <c r="S62" i="21"/>
  <c r="R71" i="21"/>
  <c r="T45" i="21"/>
  <c r="S46" i="21"/>
  <c r="R48" i="21"/>
  <c r="S56" i="21"/>
  <c r="R57" i="21"/>
  <c r="T63" i="21"/>
  <c r="R123" i="21"/>
  <c r="S48" i="21"/>
  <c r="T54" i="21"/>
  <c r="T56" i="21"/>
  <c r="S57" i="21"/>
  <c r="R58" i="21"/>
  <c r="R63" i="21"/>
  <c r="T73" i="21"/>
  <c r="R41" i="21"/>
  <c r="T57" i="21"/>
  <c r="S58" i="21"/>
  <c r="T61" i="21"/>
  <c r="T114" i="21"/>
  <c r="R49" i="21"/>
  <c r="R51" i="21"/>
  <c r="R53" i="21"/>
  <c r="S54" i="21"/>
  <c r="S80" i="21"/>
  <c r="S106" i="21"/>
  <c r="R109" i="21"/>
  <c r="T39" i="21"/>
  <c r="S47" i="21"/>
  <c r="R59" i="21"/>
  <c r="T62" i="21"/>
  <c r="S69" i="21"/>
  <c r="S71" i="21"/>
  <c r="T42" i="21"/>
  <c r="T47" i="21"/>
  <c r="T49" i="21"/>
  <c r="S52" i="21"/>
  <c r="T53" i="21"/>
  <c r="S55" i="21"/>
  <c r="S64" i="21"/>
  <c r="T66" i="21"/>
  <c r="T69" i="21"/>
  <c r="R72" i="21"/>
  <c r="T87" i="21"/>
  <c r="S70" i="21"/>
  <c r="R73" i="21"/>
  <c r="T79" i="21"/>
  <c r="T86" i="21"/>
  <c r="R87" i="21"/>
  <c r="T89" i="21"/>
  <c r="S90" i="21"/>
  <c r="T70" i="21"/>
  <c r="S79" i="21"/>
  <c r="R91" i="21"/>
  <c r="T99" i="21"/>
  <c r="T59" i="21"/>
  <c r="S60" i="21"/>
  <c r="R61" i="21"/>
  <c r="R66" i="21"/>
  <c r="T67" i="21"/>
  <c r="S73" i="21"/>
  <c r="S76" i="21"/>
  <c r="S78" i="21"/>
  <c r="T80" i="21"/>
  <c r="S87" i="21"/>
  <c r="T91" i="21"/>
  <c r="S95" i="21"/>
  <c r="T52" i="21"/>
  <c r="S53" i="21"/>
  <c r="R54" i="21"/>
  <c r="T60" i="21"/>
  <c r="S61" i="21"/>
  <c r="R62" i="21"/>
  <c r="T71" i="21"/>
  <c r="S74" i="21"/>
  <c r="R80" i="21"/>
  <c r="R81" i="21"/>
  <c r="S88" i="21"/>
  <c r="T108" i="21"/>
  <c r="T64" i="21"/>
  <c r="S81" i="21"/>
  <c r="R82" i="21"/>
  <c r="S86" i="21"/>
  <c r="T88" i="21"/>
  <c r="S92" i="21"/>
  <c r="T77" i="21"/>
  <c r="T78" i="21"/>
  <c r="R79" i="21"/>
  <c r="T81" i="21"/>
  <c r="S82" i="21"/>
  <c r="R88" i="21"/>
  <c r="R89" i="21"/>
  <c r="R93" i="21"/>
  <c r="S98" i="21"/>
  <c r="R116" i="21"/>
  <c r="R65" i="21"/>
  <c r="T68" i="21"/>
  <c r="R70" i="21"/>
  <c r="R75" i="21"/>
  <c r="R83" i="21"/>
  <c r="S89" i="21"/>
  <c r="R90" i="21"/>
  <c r="S93" i="21"/>
  <c r="R99" i="21"/>
  <c r="T76" i="21"/>
  <c r="S77" i="21"/>
  <c r="R78" i="21"/>
  <c r="T84" i="21"/>
  <c r="S85" i="21"/>
  <c r="R86" i="21"/>
  <c r="R95" i="21"/>
  <c r="T98" i="21"/>
  <c r="S105" i="21"/>
  <c r="S109" i="21"/>
  <c r="R114" i="21"/>
  <c r="S116" i="21"/>
  <c r="T122" i="21"/>
  <c r="R124" i="21"/>
  <c r="G130" i="21"/>
  <c r="T92" i="21"/>
  <c r="R94" i="21"/>
  <c r="R98" i="21"/>
  <c r="R102" i="21"/>
  <c r="T103" i="21"/>
  <c r="T105" i="21"/>
  <c r="S114" i="21"/>
  <c r="T116" i="21"/>
  <c r="R117" i="21"/>
  <c r="R122" i="21"/>
  <c r="S124" i="21"/>
  <c r="H130" i="21"/>
  <c r="S129" i="21"/>
  <c r="T96" i="21"/>
  <c r="S97" i="21"/>
  <c r="T104" i="21"/>
  <c r="S107" i="21"/>
  <c r="S113" i="21"/>
  <c r="S117" i="21"/>
  <c r="S122" i="21"/>
  <c r="T124" i="21"/>
  <c r="J130" i="21"/>
  <c r="N126" i="21"/>
  <c r="T97" i="21"/>
  <c r="R100" i="21"/>
  <c r="T107" i="21"/>
  <c r="R110" i="21"/>
  <c r="T111" i="21"/>
  <c r="T113" i="21"/>
  <c r="S121" i="21"/>
  <c r="K130" i="21"/>
  <c r="O126" i="21"/>
  <c r="T127" i="21"/>
  <c r="T129" i="21"/>
  <c r="S100" i="21"/>
  <c r="R107" i="21"/>
  <c r="T112" i="21"/>
  <c r="S115" i="21"/>
  <c r="R118" i="21"/>
  <c r="T119" i="21"/>
  <c r="T121" i="21"/>
  <c r="R129" i="21"/>
  <c r="P130" i="21"/>
  <c r="T95" i="21"/>
  <c r="T100" i="21"/>
  <c r="R101" i="21"/>
  <c r="T106" i="21"/>
  <c r="R108" i="21"/>
  <c r="T115" i="21"/>
  <c r="T120" i="21"/>
  <c r="S123" i="21"/>
  <c r="T128" i="21"/>
  <c r="T74" i="21"/>
  <c r="S75" i="21"/>
  <c r="R76" i="21"/>
  <c r="T82" i="21"/>
  <c r="S83" i="21"/>
  <c r="R84" i="21"/>
  <c r="T90" i="21"/>
  <c r="S99" i="21"/>
  <c r="S101" i="21"/>
  <c r="R106" i="21"/>
  <c r="S108" i="21"/>
  <c r="R115" i="21"/>
  <c r="T123" i="21"/>
  <c r="R127" i="21"/>
  <c r="S96" i="21"/>
  <c r="R97" i="21"/>
  <c r="S104" i="21"/>
  <c r="R105" i="21"/>
  <c r="S112" i="21"/>
  <c r="R113" i="21"/>
  <c r="S120" i="21"/>
  <c r="R121" i="21"/>
  <c r="I17" i="6"/>
  <c r="C6" i="12"/>
  <c r="C7" i="12" s="1"/>
  <c r="D6" i="12"/>
  <c r="D7" i="12" s="1"/>
  <c r="E6" i="12"/>
  <c r="E7" i="12" s="1"/>
  <c r="F6" i="12"/>
  <c r="F7" i="12" s="1"/>
  <c r="G6" i="12"/>
  <c r="G7" i="12" s="1"/>
  <c r="H6" i="12"/>
  <c r="H7" i="12" s="1"/>
  <c r="I6" i="12"/>
  <c r="I7" i="12" s="1"/>
  <c r="B6" i="12"/>
  <c r="B7" i="12" s="1"/>
  <c r="Y5" i="11"/>
  <c r="K73" i="11"/>
  <c r="C129" i="3" s="1"/>
  <c r="L73" i="11"/>
  <c r="D129" i="3" s="1"/>
  <c r="J73" i="11"/>
  <c r="B129" i="3" s="1"/>
  <c r="K72" i="11"/>
  <c r="C128" i="3" s="1"/>
  <c r="L72" i="11"/>
  <c r="D128" i="3" s="1"/>
  <c r="J72" i="11"/>
  <c r="B128" i="3" s="1"/>
  <c r="K71" i="11"/>
  <c r="C127" i="3" s="1"/>
  <c r="L71" i="11"/>
  <c r="D127" i="3" s="1"/>
  <c r="J71" i="11"/>
  <c r="B127" i="3" s="1"/>
  <c r="L70" i="11"/>
  <c r="D126" i="3" s="1"/>
  <c r="K70" i="11"/>
  <c r="C126" i="3" s="1"/>
  <c r="J70" i="11"/>
  <c r="B126" i="3" s="1"/>
  <c r="C56" i="11"/>
  <c r="B30" i="11"/>
  <c r="J6" i="11"/>
  <c r="K6" i="11" s="1"/>
  <c r="L6" i="11" s="1"/>
  <c r="M6" i="11" s="1"/>
  <c r="S17" i="11"/>
  <c r="T5" i="11"/>
  <c r="U5" i="11"/>
  <c r="V5" i="11"/>
  <c r="W5" i="11"/>
  <c r="X5" i="11"/>
  <c r="Z5" i="11"/>
  <c r="S5" i="11"/>
  <c r="J7" i="11"/>
  <c r="K7" i="11" s="1"/>
  <c r="J5" i="11"/>
  <c r="J6" i="12" s="1"/>
  <c r="J7" i="12" s="1"/>
  <c r="J5" i="12" s="1"/>
  <c r="X117" i="11"/>
  <c r="W117" i="11"/>
  <c r="V117" i="11"/>
  <c r="U117" i="11"/>
  <c r="T117" i="11"/>
  <c r="S117" i="11"/>
  <c r="X109" i="11"/>
  <c r="W109" i="11"/>
  <c r="V109" i="11"/>
  <c r="U109" i="11"/>
  <c r="T109" i="11"/>
  <c r="S109" i="11"/>
  <c r="X91" i="11"/>
  <c r="W91" i="11"/>
  <c r="V91" i="11"/>
  <c r="U91" i="11"/>
  <c r="T91" i="11"/>
  <c r="S91" i="11"/>
  <c r="X89" i="11"/>
  <c r="W89" i="11"/>
  <c r="V89" i="11"/>
  <c r="U89" i="11"/>
  <c r="T89" i="11"/>
  <c r="S89" i="11"/>
  <c r="X80" i="11"/>
  <c r="W80" i="11"/>
  <c r="V80" i="11"/>
  <c r="U80" i="11"/>
  <c r="T80" i="11"/>
  <c r="S80" i="11"/>
  <c r="X69" i="11"/>
  <c r="W69" i="11"/>
  <c r="V69" i="11"/>
  <c r="U69" i="11"/>
  <c r="T69" i="11"/>
  <c r="S69" i="11"/>
  <c r="X59" i="11"/>
  <c r="W59" i="11"/>
  <c r="V59" i="11"/>
  <c r="U59" i="11"/>
  <c r="T59" i="11"/>
  <c r="S59" i="11"/>
  <c r="X17" i="11"/>
  <c r="W17" i="11"/>
  <c r="V17" i="11"/>
  <c r="U17" i="11"/>
  <c r="T17" i="11"/>
  <c r="X6" i="11"/>
  <c r="W6" i="11"/>
  <c r="V6" i="11"/>
  <c r="U6" i="11"/>
  <c r="T6" i="11"/>
  <c r="S6" i="11"/>
  <c r="G5" i="5"/>
  <c r="Q130" i="21" l="1"/>
  <c r="U126" i="21"/>
  <c r="U130" i="21" s="1"/>
  <c r="T130" i="21"/>
  <c r="S126" i="21"/>
  <c r="S130" i="21" s="1"/>
  <c r="O130" i="21"/>
  <c r="N130" i="21"/>
  <c r="R126" i="21"/>
  <c r="R130" i="21" s="1"/>
  <c r="C130" i="3"/>
  <c r="D130" i="3"/>
  <c r="B130" i="3"/>
  <c r="I5" i="12"/>
  <c r="AA5" i="11"/>
  <c r="L7" i="11"/>
  <c r="AB5" i="11"/>
  <c r="M133" i="6"/>
  <c r="M134" i="6"/>
  <c r="M135" i="6"/>
  <c r="M136" i="6"/>
  <c r="M137" i="6"/>
  <c r="M138" i="6"/>
  <c r="E132" i="6"/>
  <c r="M132" i="6" s="1"/>
  <c r="N132" i="6" s="1"/>
  <c r="O6" i="3" s="1"/>
  <c r="F137" i="6"/>
  <c r="C138" i="6"/>
  <c r="L138" i="6" s="1"/>
  <c r="N81" i="3" s="1"/>
  <c r="C133" i="6"/>
  <c r="L133" i="6" s="1"/>
  <c r="C132" i="6"/>
  <c r="L132" i="6" s="1"/>
  <c r="N6" i="3" s="1"/>
  <c r="M11" i="6"/>
  <c r="N11" i="6" s="1"/>
  <c r="N7" i="3"/>
  <c r="M112" i="6"/>
  <c r="N112" i="6" s="1"/>
  <c r="M78" i="6"/>
  <c r="N78" i="6" s="1"/>
  <c r="M5" i="6"/>
  <c r="N5" i="6" s="1"/>
  <c r="M6" i="6"/>
  <c r="M8" i="6"/>
  <c r="N8" i="6" s="1"/>
  <c r="M9" i="6"/>
  <c r="N9" i="6" s="1"/>
  <c r="M10" i="6"/>
  <c r="N10" i="6" s="1"/>
  <c r="N12" i="6"/>
  <c r="M13" i="6"/>
  <c r="N13" i="6" s="1"/>
  <c r="M14" i="6"/>
  <c r="N14" i="6" s="1"/>
  <c r="M16" i="6"/>
  <c r="N16" i="6" s="1"/>
  <c r="M18" i="6"/>
  <c r="M19" i="6"/>
  <c r="N19" i="6" s="1"/>
  <c r="M20" i="6"/>
  <c r="N20" i="6" s="1"/>
  <c r="M21" i="6"/>
  <c r="M23" i="6"/>
  <c r="N23" i="6" s="1"/>
  <c r="M24" i="6"/>
  <c r="N24" i="6" s="1"/>
  <c r="M27" i="6"/>
  <c r="N27" i="6" s="1"/>
  <c r="M28" i="6"/>
  <c r="N28" i="6" s="1"/>
  <c r="M29" i="6"/>
  <c r="N29" i="6" s="1"/>
  <c r="M30" i="6"/>
  <c r="M31" i="6"/>
  <c r="M33" i="6"/>
  <c r="N33" i="6" s="1"/>
  <c r="M34" i="6"/>
  <c r="N34" i="6" s="1"/>
  <c r="M35" i="6"/>
  <c r="M36" i="6"/>
  <c r="N36" i="6" s="1"/>
  <c r="M38" i="6"/>
  <c r="N38" i="6" s="1"/>
  <c r="M39" i="6"/>
  <c r="N39" i="6" s="1"/>
  <c r="M41" i="6"/>
  <c r="N41" i="6" s="1"/>
  <c r="M42" i="6"/>
  <c r="N42" i="6" s="1"/>
  <c r="M43" i="6"/>
  <c r="N43" i="6" s="1"/>
  <c r="M44" i="6"/>
  <c r="N44" i="6" s="1"/>
  <c r="M45" i="6"/>
  <c r="N45" i="6" s="1"/>
  <c r="M46" i="6"/>
  <c r="M47" i="6"/>
  <c r="N47" i="6" s="1"/>
  <c r="M48" i="6"/>
  <c r="N48" i="6" s="1"/>
  <c r="M49" i="6"/>
  <c r="N49" i="6" s="1"/>
  <c r="M50" i="6"/>
  <c r="N50" i="6" s="1"/>
  <c r="M51" i="6"/>
  <c r="N51" i="6" s="1"/>
  <c r="M52" i="6"/>
  <c r="M53" i="6"/>
  <c r="N53" i="6" s="1"/>
  <c r="M54" i="6"/>
  <c r="N54" i="6" s="1"/>
  <c r="M55" i="6"/>
  <c r="N55" i="6" s="1"/>
  <c r="M56" i="6"/>
  <c r="N56" i="6" s="1"/>
  <c r="M57" i="6"/>
  <c r="M58" i="6"/>
  <c r="N58" i="6" s="1"/>
  <c r="M59" i="6"/>
  <c r="M60" i="6"/>
  <c r="N60" i="6" s="1"/>
  <c r="M61" i="6"/>
  <c r="N61" i="6" s="1"/>
  <c r="M62" i="6"/>
  <c r="N62" i="6" s="1"/>
  <c r="M64" i="6"/>
  <c r="N64" i="6" s="1"/>
  <c r="M65" i="6"/>
  <c r="M67" i="6"/>
  <c r="N67" i="6" s="1"/>
  <c r="M68" i="6"/>
  <c r="N68" i="6" s="1"/>
  <c r="M69" i="6"/>
  <c r="N69" i="6" s="1"/>
  <c r="M70" i="6"/>
  <c r="M71" i="6"/>
  <c r="N71" i="6" s="1"/>
  <c r="M72" i="6"/>
  <c r="N72" i="6" s="1"/>
  <c r="M75" i="6"/>
  <c r="N75" i="6" s="1"/>
  <c r="M76" i="6"/>
  <c r="N76" i="6" s="1"/>
  <c r="M77" i="6"/>
  <c r="N77" i="6" s="1"/>
  <c r="M79" i="6"/>
  <c r="N79" i="6" s="1"/>
  <c r="M81" i="6"/>
  <c r="N81" i="6" s="1"/>
  <c r="M82" i="6"/>
  <c r="N82" i="6" s="1"/>
  <c r="M83" i="6"/>
  <c r="N83" i="6" s="1"/>
  <c r="M85" i="6"/>
  <c r="N85" i="6" s="1"/>
  <c r="M86" i="6"/>
  <c r="N86" i="6" s="1"/>
  <c r="M87" i="6"/>
  <c r="N87" i="6" s="1"/>
  <c r="M88" i="6"/>
  <c r="N88" i="6" s="1"/>
  <c r="M89" i="6"/>
  <c r="M90" i="6"/>
  <c r="N90" i="6" s="1"/>
  <c r="M91" i="6"/>
  <c r="M92" i="6"/>
  <c r="N92" i="6" s="1"/>
  <c r="M93" i="6"/>
  <c r="N93" i="6" s="1"/>
  <c r="M94" i="6"/>
  <c r="N94" i="6" s="1"/>
  <c r="M95" i="6"/>
  <c r="N95" i="6" s="1"/>
  <c r="M98" i="6"/>
  <c r="N98" i="6" s="1"/>
  <c r="M99" i="6"/>
  <c r="M100" i="6"/>
  <c r="N100" i="6" s="1"/>
  <c r="M102" i="6"/>
  <c r="N102" i="6" s="1"/>
  <c r="M103" i="6"/>
  <c r="M104" i="6"/>
  <c r="N104" i="6" s="1"/>
  <c r="M107" i="6"/>
  <c r="N107" i="6" s="1"/>
  <c r="M108" i="6"/>
  <c r="N108" i="6" s="1"/>
  <c r="M109" i="6"/>
  <c r="N109" i="6" s="1"/>
  <c r="M111" i="6"/>
  <c r="N111" i="6" s="1"/>
  <c r="M113" i="6"/>
  <c r="M114" i="6"/>
  <c r="N114" i="6" s="1"/>
  <c r="M116" i="6"/>
  <c r="N116" i="6" s="1"/>
  <c r="M117" i="6"/>
  <c r="M118" i="6"/>
  <c r="N118" i="6" s="1"/>
  <c r="M119" i="6"/>
  <c r="N119" i="6" s="1"/>
  <c r="M120" i="6"/>
  <c r="N120" i="6" s="1"/>
  <c r="M121" i="6"/>
  <c r="N121" i="6" s="1"/>
  <c r="M123" i="6"/>
  <c r="N123" i="6" s="1"/>
  <c r="M124" i="6"/>
  <c r="N124" i="6" s="1"/>
  <c r="M126" i="6"/>
  <c r="N126" i="6" s="1"/>
  <c r="M127" i="6"/>
  <c r="N127" i="6" s="1"/>
  <c r="M128" i="6"/>
  <c r="N128" i="6" s="1"/>
  <c r="M129" i="6"/>
  <c r="M130" i="6"/>
  <c r="N130" i="6" s="1"/>
  <c r="M131" i="6"/>
  <c r="N131" i="6" s="1"/>
  <c r="M4" i="6"/>
  <c r="N4" i="6" s="1"/>
  <c r="L6" i="6"/>
  <c r="N6" i="6" s="1"/>
  <c r="L8" i="6"/>
  <c r="L9" i="6"/>
  <c r="L10" i="6"/>
  <c r="N12" i="3" s="1"/>
  <c r="L11" i="6"/>
  <c r="N126" i="3" s="1"/>
  <c r="L12" i="6"/>
  <c r="L13" i="6"/>
  <c r="N128" i="3" s="1"/>
  <c r="L14" i="6"/>
  <c r="N129" i="3" s="1"/>
  <c r="L16" i="6"/>
  <c r="N14" i="3" s="1"/>
  <c r="L19" i="6"/>
  <c r="N17" i="3" s="1"/>
  <c r="L20" i="6"/>
  <c r="L23" i="6"/>
  <c r="L24" i="6"/>
  <c r="N21" i="3" s="1"/>
  <c r="L27" i="6"/>
  <c r="N24" i="3" s="1"/>
  <c r="L28" i="6"/>
  <c r="N25" i="3" s="1"/>
  <c r="L29" i="6"/>
  <c r="N26" i="3" s="1"/>
  <c r="L33" i="6"/>
  <c r="L34" i="6"/>
  <c r="L36" i="6"/>
  <c r="N32" i="3" s="1"/>
  <c r="L38" i="6"/>
  <c r="N34" i="3" s="1"/>
  <c r="L39" i="6"/>
  <c r="N35" i="3" s="1"/>
  <c r="L41" i="6"/>
  <c r="N37" i="3" s="1"/>
  <c r="L42" i="6"/>
  <c r="N38" i="3" s="1"/>
  <c r="L43" i="6"/>
  <c r="N39" i="3" s="1"/>
  <c r="L44" i="6"/>
  <c r="N40" i="3" s="1"/>
  <c r="L45" i="6"/>
  <c r="N41" i="3" s="1"/>
  <c r="L47" i="6"/>
  <c r="N43" i="3" s="1"/>
  <c r="L48" i="6"/>
  <c r="N44" i="3" s="1"/>
  <c r="L50" i="6"/>
  <c r="N46" i="3" s="1"/>
  <c r="L51" i="6"/>
  <c r="N47" i="3" s="1"/>
  <c r="L53" i="6"/>
  <c r="N49" i="3" s="1"/>
  <c r="L54" i="6"/>
  <c r="N50" i="3" s="1"/>
  <c r="L55" i="6"/>
  <c r="N51" i="3" s="1"/>
  <c r="L56" i="6"/>
  <c r="N52" i="3" s="1"/>
  <c r="L58" i="6"/>
  <c r="N54" i="3" s="1"/>
  <c r="L60" i="6"/>
  <c r="L61" i="6"/>
  <c r="N57" i="3" s="1"/>
  <c r="L62" i="6"/>
  <c r="N58" i="3" s="1"/>
  <c r="L64" i="6"/>
  <c r="N60" i="3" s="1"/>
  <c r="L67" i="6"/>
  <c r="N63" i="3" s="1"/>
  <c r="L68" i="6"/>
  <c r="N64" i="3" s="1"/>
  <c r="L69" i="6"/>
  <c r="L71" i="6"/>
  <c r="N66" i="3" s="1"/>
  <c r="L72" i="6"/>
  <c r="N67" i="3" s="1"/>
  <c r="L75" i="6"/>
  <c r="N70" i="3" s="1"/>
  <c r="L76" i="6"/>
  <c r="N71" i="3" s="1"/>
  <c r="L77" i="6"/>
  <c r="N72" i="3" s="1"/>
  <c r="L79" i="6"/>
  <c r="L81" i="6"/>
  <c r="N75" i="3" s="1"/>
  <c r="L82" i="6"/>
  <c r="L83" i="6"/>
  <c r="N77" i="3" s="1"/>
  <c r="L85" i="6"/>
  <c r="N79" i="3" s="1"/>
  <c r="L86" i="6"/>
  <c r="N80" i="3" s="1"/>
  <c r="L87" i="6"/>
  <c r="L88" i="6"/>
  <c r="L90" i="6"/>
  <c r="N83" i="3" s="1"/>
  <c r="L92" i="6"/>
  <c r="N85" i="3" s="1"/>
  <c r="L93" i="6"/>
  <c r="N86" i="3" s="1"/>
  <c r="L94" i="6"/>
  <c r="N87" i="3" s="1"/>
  <c r="L95" i="6"/>
  <c r="N88" i="3" s="1"/>
  <c r="L98" i="6"/>
  <c r="N91" i="3" s="1"/>
  <c r="L100" i="6"/>
  <c r="N93" i="3" s="1"/>
  <c r="L102" i="6"/>
  <c r="L104" i="6"/>
  <c r="N97" i="3" s="1"/>
  <c r="L107" i="6"/>
  <c r="N100" i="3" s="1"/>
  <c r="L108" i="6"/>
  <c r="N101" i="3" s="1"/>
  <c r="L109" i="6"/>
  <c r="N102" i="3" s="1"/>
  <c r="L111" i="6"/>
  <c r="N104" i="3" s="1"/>
  <c r="L112" i="6"/>
  <c r="N105" i="3" s="1"/>
  <c r="L114" i="6"/>
  <c r="L116" i="6"/>
  <c r="N109" i="3" s="1"/>
  <c r="L118" i="6"/>
  <c r="N111" i="3" s="1"/>
  <c r="L119" i="6"/>
  <c r="N112" i="3" s="1"/>
  <c r="L120" i="6"/>
  <c r="N113" i="3" s="1"/>
  <c r="L121" i="6"/>
  <c r="N114" i="3" s="1"/>
  <c r="L123" i="6"/>
  <c r="N116" i="3" s="1"/>
  <c r="L124" i="6"/>
  <c r="L126" i="6"/>
  <c r="N119" i="3" s="1"/>
  <c r="L127" i="6"/>
  <c r="N120" i="3" s="1"/>
  <c r="L128" i="6"/>
  <c r="N121" i="3" s="1"/>
  <c r="L130" i="6"/>
  <c r="N123" i="3" s="1"/>
  <c r="L131" i="6"/>
  <c r="N124" i="3" s="1"/>
  <c r="L5" i="6"/>
  <c r="N8" i="3" s="1"/>
  <c r="L7" i="6"/>
  <c r="T133" i="11"/>
  <c r="U133" i="11"/>
  <c r="V133" i="11"/>
  <c r="W133" i="11"/>
  <c r="X133" i="11"/>
  <c r="Y133" i="11"/>
  <c r="Z133" i="11"/>
  <c r="AA133" i="11"/>
  <c r="AB133" i="11"/>
  <c r="AC133" i="11"/>
  <c r="S133" i="11"/>
  <c r="Q249" i="11"/>
  <c r="Q250" i="11"/>
  <c r="Q251" i="11"/>
  <c r="Q252" i="11"/>
  <c r="Q253" i="11"/>
  <c r="Q254" i="11"/>
  <c r="Q238" i="11"/>
  <c r="Q239" i="11"/>
  <c r="Q240" i="11"/>
  <c r="Q241" i="11"/>
  <c r="Q242" i="11"/>
  <c r="Q243" i="11"/>
  <c r="Q244" i="11"/>
  <c r="Q245" i="11"/>
  <c r="Q246" i="11"/>
  <c r="Q247" i="11"/>
  <c r="Q248" i="11"/>
  <c r="Q229" i="11"/>
  <c r="Q230" i="11"/>
  <c r="Q231" i="11"/>
  <c r="Q232" i="11"/>
  <c r="Q233" i="11"/>
  <c r="Q234" i="11"/>
  <c r="Q235" i="11"/>
  <c r="Q236" i="11"/>
  <c r="Q237" i="11"/>
  <c r="Q223" i="11"/>
  <c r="Q224" i="11"/>
  <c r="Q225" i="11"/>
  <c r="Q226" i="11"/>
  <c r="Q227" i="11"/>
  <c r="Q228"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Q196" i="11"/>
  <c r="Q197" i="11"/>
  <c r="Q198" i="11"/>
  <c r="Q199" i="11"/>
  <c r="Q200" i="11"/>
  <c r="Q201" i="11"/>
  <c r="Q202" i="11"/>
  <c r="Q203" i="11"/>
  <c r="Q204" i="11"/>
  <c r="Q205" i="11"/>
  <c r="Q206" i="11"/>
  <c r="Q207" i="11"/>
  <c r="Q208" i="11"/>
  <c r="Q209" i="11"/>
  <c r="Q210" i="11"/>
  <c r="Q211" i="11"/>
  <c r="Q212" i="11"/>
  <c r="Q213" i="11"/>
  <c r="Q214" i="11"/>
  <c r="Q215" i="11"/>
  <c r="Q216" i="11"/>
  <c r="Q217" i="11"/>
  <c r="Q218" i="11"/>
  <c r="Q219" i="11"/>
  <c r="Q220" i="11"/>
  <c r="Q221" i="11"/>
  <c r="Q222" i="11"/>
  <c r="Q136" i="11"/>
  <c r="S130" i="11"/>
  <c r="T130" i="11"/>
  <c r="T210" i="11" s="1"/>
  <c r="U130" i="11"/>
  <c r="U210" i="11" s="1"/>
  <c r="V130" i="11"/>
  <c r="W130" i="11"/>
  <c r="X130" i="11"/>
  <c r="X221" i="11" s="1"/>
  <c r="Y130" i="11"/>
  <c r="Z130" i="11"/>
  <c r="B53" i="11"/>
  <c r="C53" i="11"/>
  <c r="D53" i="11"/>
  <c r="E53" i="11"/>
  <c r="F53" i="11"/>
  <c r="G53" i="11"/>
  <c r="B54" i="11"/>
  <c r="C54" i="11"/>
  <c r="D54" i="11"/>
  <c r="E54" i="11"/>
  <c r="F54" i="11"/>
  <c r="G54" i="11"/>
  <c r="B55" i="11"/>
  <c r="C55" i="11"/>
  <c r="D55" i="11"/>
  <c r="E55" i="11"/>
  <c r="F55" i="11"/>
  <c r="G55" i="11"/>
  <c r="B56" i="11"/>
  <c r="D56" i="11"/>
  <c r="E56" i="11"/>
  <c r="F56" i="11"/>
  <c r="G56" i="11"/>
  <c r="B57" i="11"/>
  <c r="C57" i="11"/>
  <c r="D57" i="11"/>
  <c r="E57" i="11"/>
  <c r="F57" i="11"/>
  <c r="G57" i="11"/>
  <c r="B58" i="11"/>
  <c r="C58" i="11"/>
  <c r="D58" i="11"/>
  <c r="E58" i="11"/>
  <c r="F58" i="11"/>
  <c r="G58" i="11"/>
  <c r="B59" i="11"/>
  <c r="C59" i="11"/>
  <c r="D59" i="11"/>
  <c r="E59" i="11"/>
  <c r="F59" i="11"/>
  <c r="G59" i="11"/>
  <c r="B60" i="11"/>
  <c r="C60" i="11"/>
  <c r="D60" i="11"/>
  <c r="E60" i="11"/>
  <c r="F60" i="11"/>
  <c r="G60" i="11"/>
  <c r="C52" i="11"/>
  <c r="D52" i="11"/>
  <c r="E52" i="11"/>
  <c r="F52" i="11"/>
  <c r="G52" i="11"/>
  <c r="B52" i="11"/>
  <c r="Q112"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4" i="9"/>
  <c r="C30" i="11"/>
  <c r="C61" i="11" s="1"/>
  <c r="T35" i="11" s="1"/>
  <c r="D30" i="11"/>
  <c r="E30" i="11"/>
  <c r="E61" i="11" s="1"/>
  <c r="V24" i="11" s="1"/>
  <c r="F30" i="11"/>
  <c r="G30" i="11"/>
  <c r="C31" i="11"/>
  <c r="C62" i="11" s="1"/>
  <c r="D31" i="11"/>
  <c r="E31" i="11"/>
  <c r="E62" i="11" s="1"/>
  <c r="V50" i="11" s="1"/>
  <c r="F31" i="11"/>
  <c r="F62" i="11" s="1"/>
  <c r="W40" i="11" s="1"/>
  <c r="G31" i="11"/>
  <c r="C32" i="11"/>
  <c r="C63" i="11" s="1"/>
  <c r="D32" i="11"/>
  <c r="D63" i="11" s="1"/>
  <c r="U66" i="11" s="1"/>
  <c r="E32" i="11"/>
  <c r="E63" i="11" s="1"/>
  <c r="F32" i="11"/>
  <c r="F63" i="11" s="1"/>
  <c r="G32" i="11"/>
  <c r="C33" i="11"/>
  <c r="C64" i="11" s="1"/>
  <c r="T98" i="11" s="1"/>
  <c r="D33" i="11"/>
  <c r="D64" i="11" s="1"/>
  <c r="E33" i="11"/>
  <c r="F33" i="11"/>
  <c r="F64" i="11" s="1"/>
  <c r="G33" i="11"/>
  <c r="G64" i="11" s="1"/>
  <c r="X86" i="11" s="1"/>
  <c r="C34" i="11"/>
  <c r="C65" i="11" s="1"/>
  <c r="D34" i="11"/>
  <c r="D65" i="11" s="1"/>
  <c r="E34" i="11"/>
  <c r="E65" i="11" s="1"/>
  <c r="F34" i="11"/>
  <c r="F65" i="11" s="1"/>
  <c r="G34" i="11"/>
  <c r="B34" i="11"/>
  <c r="B65" i="11" s="1"/>
  <c r="B33" i="11"/>
  <c r="B64" i="11" s="1"/>
  <c r="B32" i="11"/>
  <c r="B63" i="11" s="1"/>
  <c r="B31" i="11"/>
  <c r="B61" i="11"/>
  <c r="S7" i="11" s="1"/>
  <c r="C9" i="11"/>
  <c r="C10" i="11"/>
  <c r="D10" i="11"/>
  <c r="E10" i="11"/>
  <c r="F10" i="11"/>
  <c r="G10" i="11"/>
  <c r="H10" i="11"/>
  <c r="I10" i="11"/>
  <c r="J10" i="11"/>
  <c r="J8" i="11" s="1"/>
  <c r="B10" i="11"/>
  <c r="D9" i="11"/>
  <c r="E9" i="11"/>
  <c r="F9" i="11"/>
  <c r="G9" i="11"/>
  <c r="H9" i="11"/>
  <c r="H22" i="11" s="1"/>
  <c r="I9" i="11"/>
  <c r="AC5" i="11" l="1"/>
  <c r="M7" i="11"/>
  <c r="AD5" i="11" s="1"/>
  <c r="S78" i="11"/>
  <c r="S208" i="11" s="1"/>
  <c r="S75" i="11"/>
  <c r="T228" i="11"/>
  <c r="O47" i="3"/>
  <c r="N95" i="3"/>
  <c r="N107" i="3"/>
  <c r="N127" i="3"/>
  <c r="N117" i="3"/>
  <c r="O88" i="3"/>
  <c r="N56" i="3"/>
  <c r="N20" i="3"/>
  <c r="O121" i="3"/>
  <c r="O43" i="3"/>
  <c r="O97" i="3"/>
  <c r="O129" i="3"/>
  <c r="N76" i="3"/>
  <c r="N30" i="3"/>
  <c r="O66" i="3"/>
  <c r="N133" i="6"/>
  <c r="N11" i="3"/>
  <c r="N138" i="6"/>
  <c r="O7" i="3"/>
  <c r="N9" i="3"/>
  <c r="H32" i="11"/>
  <c r="I32" i="11" s="1"/>
  <c r="W170" i="11"/>
  <c r="W189" i="11"/>
  <c r="W147" i="11"/>
  <c r="W199" i="11"/>
  <c r="W247" i="11"/>
  <c r="W239" i="11"/>
  <c r="V154" i="11"/>
  <c r="V147" i="11"/>
  <c r="V180" i="11"/>
  <c r="V210" i="11"/>
  <c r="V247" i="11"/>
  <c r="V239" i="11"/>
  <c r="W221" i="11"/>
  <c r="U147" i="11"/>
  <c r="U221" i="11"/>
  <c r="U189" i="11"/>
  <c r="U247" i="11"/>
  <c r="U239" i="11"/>
  <c r="V221" i="11"/>
  <c r="S210" i="11"/>
  <c r="T165" i="11"/>
  <c r="T147" i="11"/>
  <c r="T189" i="11"/>
  <c r="T247" i="11"/>
  <c r="T239" i="11"/>
  <c r="T221" i="11"/>
  <c r="X219" i="11"/>
  <c r="X199" i="11"/>
  <c r="S147" i="11"/>
  <c r="S219" i="11"/>
  <c r="S189" i="11"/>
  <c r="S199" i="11"/>
  <c r="S247" i="11"/>
  <c r="S239" i="11"/>
  <c r="S221" i="11"/>
  <c r="W219" i="11"/>
  <c r="V199" i="11"/>
  <c r="U196" i="11"/>
  <c r="V136" i="11"/>
  <c r="V219" i="11"/>
  <c r="U199" i="11"/>
  <c r="X189" i="11"/>
  <c r="U219" i="11"/>
  <c r="T199" i="11"/>
  <c r="V189" i="11"/>
  <c r="X147" i="11"/>
  <c r="X210" i="11"/>
  <c r="X247" i="11"/>
  <c r="X239" i="11"/>
  <c r="T219" i="11"/>
  <c r="X216" i="11"/>
  <c r="W210" i="11"/>
  <c r="X136" i="11"/>
  <c r="W136" i="11"/>
  <c r="S136" i="11"/>
  <c r="T136" i="11"/>
  <c r="U136" i="11"/>
  <c r="S70" i="11"/>
  <c r="S200" i="11" s="1"/>
  <c r="V31" i="11"/>
  <c r="V161" i="11" s="1"/>
  <c r="V51" i="11"/>
  <c r="V181" i="11" s="1"/>
  <c r="V36" i="11"/>
  <c r="V166" i="11" s="1"/>
  <c r="V54" i="11"/>
  <c r="V184" i="11" s="1"/>
  <c r="U70" i="11"/>
  <c r="U200" i="11" s="1"/>
  <c r="V40" i="11"/>
  <c r="V170" i="11" s="1"/>
  <c r="V58" i="11"/>
  <c r="V188" i="11" s="1"/>
  <c r="S74" i="11"/>
  <c r="S204" i="11" s="1"/>
  <c r="S64" i="11"/>
  <c r="S194" i="11" s="1"/>
  <c r="U79" i="11"/>
  <c r="U209" i="11" s="1"/>
  <c r="T9" i="11"/>
  <c r="T139" i="11" s="1"/>
  <c r="V42" i="11"/>
  <c r="V172" i="11" s="1"/>
  <c r="U64" i="11"/>
  <c r="U194" i="11" s="1"/>
  <c r="T84" i="11"/>
  <c r="T214" i="11" s="1"/>
  <c r="V16" i="11"/>
  <c r="V146" i="11" s="1"/>
  <c r="V43" i="11"/>
  <c r="V173" i="11" s="1"/>
  <c r="U65" i="11"/>
  <c r="U195" i="11" s="1"/>
  <c r="X92" i="11"/>
  <c r="X222" i="11" s="1"/>
  <c r="T22" i="11"/>
  <c r="T152" i="11" s="1"/>
  <c r="V44" i="11"/>
  <c r="V174" i="11" s="1"/>
  <c r="X96" i="11"/>
  <c r="X226" i="11" s="1"/>
  <c r="V26" i="11"/>
  <c r="V156" i="11" s="1"/>
  <c r="S68" i="11"/>
  <c r="S198" i="11" s="1"/>
  <c r="S33" i="11"/>
  <c r="S163" i="11" s="1"/>
  <c r="S29" i="11"/>
  <c r="S159" i="11" s="1"/>
  <c r="S25" i="11"/>
  <c r="S155" i="11" s="1"/>
  <c r="S21" i="11"/>
  <c r="S151" i="11" s="1"/>
  <c r="S16" i="11"/>
  <c r="S146" i="11" s="1"/>
  <c r="S31" i="11"/>
  <c r="S161" i="11" s="1"/>
  <c r="S22" i="11"/>
  <c r="S152" i="11" s="1"/>
  <c r="S13" i="11"/>
  <c r="S143" i="11" s="1"/>
  <c r="S9" i="11"/>
  <c r="S139" i="11" s="1"/>
  <c r="S20" i="11"/>
  <c r="S150" i="11" s="1"/>
  <c r="S34" i="11"/>
  <c r="S164" i="11" s="1"/>
  <c r="S27" i="11"/>
  <c r="S157" i="11" s="1"/>
  <c r="S18" i="11"/>
  <c r="S148" i="11" s="1"/>
  <c r="S14" i="11"/>
  <c r="S144" i="11" s="1"/>
  <c r="S10" i="11"/>
  <c r="S140" i="11" s="1"/>
  <c r="S32" i="11"/>
  <c r="S162" i="11" s="1"/>
  <c r="S35" i="11"/>
  <c r="S165" i="11" s="1"/>
  <c r="S26" i="11"/>
  <c r="S156" i="11" s="1"/>
  <c r="S19" i="11"/>
  <c r="S149" i="11" s="1"/>
  <c r="S12" i="11"/>
  <c r="S142" i="11" s="1"/>
  <c r="S8" i="11"/>
  <c r="S138" i="11" s="1"/>
  <c r="U123" i="11"/>
  <c r="U253" i="11" s="1"/>
  <c r="U119" i="11"/>
  <c r="U249" i="11" s="1"/>
  <c r="U124" i="11"/>
  <c r="U254" i="11" s="1"/>
  <c r="U120" i="11"/>
  <c r="U250" i="11" s="1"/>
  <c r="U121" i="11"/>
  <c r="U251" i="11" s="1"/>
  <c r="U116" i="11"/>
  <c r="U246" i="11" s="1"/>
  <c r="U112" i="11"/>
  <c r="U242" i="11" s="1"/>
  <c r="U107" i="11"/>
  <c r="U237" i="11" s="1"/>
  <c r="U108" i="11"/>
  <c r="U238" i="11" s="1"/>
  <c r="U118" i="11"/>
  <c r="U248" i="11" s="1"/>
  <c r="U114" i="11"/>
  <c r="U244" i="11" s="1"/>
  <c r="U105" i="11"/>
  <c r="U235" i="11" s="1"/>
  <c r="U111" i="11"/>
  <c r="U241" i="11" s="1"/>
  <c r="U110" i="11"/>
  <c r="U240" i="11" s="1"/>
  <c r="U115" i="11"/>
  <c r="U245" i="11" s="1"/>
  <c r="U106" i="11"/>
  <c r="U236" i="11" s="1"/>
  <c r="U122" i="11"/>
  <c r="U252" i="11" s="1"/>
  <c r="U104" i="11"/>
  <c r="U234" i="11" s="1"/>
  <c r="U113" i="11"/>
  <c r="U243" i="11" s="1"/>
  <c r="W78" i="11"/>
  <c r="W208" i="11" s="1"/>
  <c r="W74" i="11"/>
  <c r="W204" i="11" s="1"/>
  <c r="W70" i="11"/>
  <c r="W200" i="11" s="1"/>
  <c r="W79" i="11"/>
  <c r="W209" i="11" s="1"/>
  <c r="W75" i="11"/>
  <c r="W205" i="11" s="1"/>
  <c r="W77" i="11"/>
  <c r="W207" i="11" s="1"/>
  <c r="W73" i="11"/>
  <c r="W203" i="11" s="1"/>
  <c r="W68" i="11"/>
  <c r="W198" i="11" s="1"/>
  <c r="W64" i="11"/>
  <c r="W194" i="11" s="1"/>
  <c r="W76" i="11"/>
  <c r="W206" i="11" s="1"/>
  <c r="W67" i="11"/>
  <c r="W197" i="11" s="1"/>
  <c r="W71" i="11"/>
  <c r="W201" i="11" s="1"/>
  <c r="W62" i="11"/>
  <c r="W192" i="11" s="1"/>
  <c r="W81" i="11"/>
  <c r="W211" i="11" s="1"/>
  <c r="W66" i="11"/>
  <c r="W196" i="11" s="1"/>
  <c r="W63" i="11"/>
  <c r="W193" i="11" s="1"/>
  <c r="W65" i="11"/>
  <c r="W195" i="11" s="1"/>
  <c r="W72" i="11"/>
  <c r="W202" i="11" s="1"/>
  <c r="T60" i="11"/>
  <c r="T190" i="11" s="1"/>
  <c r="T55" i="11"/>
  <c r="T185" i="11" s="1"/>
  <c r="T51" i="11"/>
  <c r="T181" i="11" s="1"/>
  <c r="T47" i="11"/>
  <c r="T177" i="11" s="1"/>
  <c r="T61" i="11"/>
  <c r="T191" i="11" s="1"/>
  <c r="T56" i="11"/>
  <c r="T186" i="11" s="1"/>
  <c r="T52" i="11"/>
  <c r="T182" i="11" s="1"/>
  <c r="T48" i="11"/>
  <c r="T178" i="11" s="1"/>
  <c r="T44" i="11"/>
  <c r="T174" i="11" s="1"/>
  <c r="T40" i="11"/>
  <c r="T170" i="11" s="1"/>
  <c r="T36" i="11"/>
  <c r="T166" i="11" s="1"/>
  <c r="T49" i="11"/>
  <c r="T179" i="11" s="1"/>
  <c r="T45" i="11"/>
  <c r="T175" i="11" s="1"/>
  <c r="T53" i="11"/>
  <c r="T183" i="11" s="1"/>
  <c r="T43" i="11"/>
  <c r="T173" i="11" s="1"/>
  <c r="T57" i="11"/>
  <c r="T187" i="11" s="1"/>
  <c r="T41" i="11"/>
  <c r="T171" i="11" s="1"/>
  <c r="T46" i="11"/>
  <c r="T176" i="11" s="1"/>
  <c r="T39" i="11"/>
  <c r="T169" i="11" s="1"/>
  <c r="T50" i="11"/>
  <c r="T180" i="11" s="1"/>
  <c r="T58" i="11"/>
  <c r="T188" i="11" s="1"/>
  <c r="S99" i="11"/>
  <c r="S229" i="11" s="1"/>
  <c r="S95" i="11"/>
  <c r="S225" i="11" s="1"/>
  <c r="S90" i="11"/>
  <c r="S220" i="11" s="1"/>
  <c r="S85" i="11"/>
  <c r="S215" i="11" s="1"/>
  <c r="S103" i="11"/>
  <c r="S233" i="11" s="1"/>
  <c r="S100" i="11"/>
  <c r="S230" i="11" s="1"/>
  <c r="S96" i="11"/>
  <c r="S226" i="11" s="1"/>
  <c r="S92" i="11"/>
  <c r="S222" i="11" s="1"/>
  <c r="S86" i="11"/>
  <c r="S216" i="11" s="1"/>
  <c r="S82" i="11"/>
  <c r="S212" i="11" s="1"/>
  <c r="S98" i="11"/>
  <c r="S228" i="11" s="1"/>
  <c r="S94" i="11"/>
  <c r="S224" i="11" s="1"/>
  <c r="S88" i="11"/>
  <c r="S218" i="11" s="1"/>
  <c r="S84" i="11"/>
  <c r="S214" i="11" s="1"/>
  <c r="S102" i="11"/>
  <c r="S232" i="11" s="1"/>
  <c r="S101" i="11"/>
  <c r="S231" i="11" s="1"/>
  <c r="S83" i="11"/>
  <c r="S213" i="11" s="1"/>
  <c r="S87" i="11"/>
  <c r="S217" i="11" s="1"/>
  <c r="S93" i="11"/>
  <c r="S223" i="11" s="1"/>
  <c r="S97" i="11"/>
  <c r="S227" i="11" s="1"/>
  <c r="T77" i="11"/>
  <c r="T207" i="11" s="1"/>
  <c r="T73" i="11"/>
  <c r="T203" i="11" s="1"/>
  <c r="T68" i="11"/>
  <c r="T198" i="11" s="1"/>
  <c r="T64" i="11"/>
  <c r="T194" i="11" s="1"/>
  <c r="T78" i="11"/>
  <c r="T208" i="11" s="1"/>
  <c r="T74" i="11"/>
  <c r="T204" i="11" s="1"/>
  <c r="T70" i="11"/>
  <c r="T200" i="11" s="1"/>
  <c r="T65" i="11"/>
  <c r="T195" i="11" s="1"/>
  <c r="T81" i="11"/>
  <c r="T211" i="11" s="1"/>
  <c r="T76" i="11"/>
  <c r="T206" i="11" s="1"/>
  <c r="T72" i="11"/>
  <c r="T202" i="11" s="1"/>
  <c r="T67" i="11"/>
  <c r="T197" i="11" s="1"/>
  <c r="T71" i="11"/>
  <c r="T201" i="11" s="1"/>
  <c r="T75" i="11"/>
  <c r="T205" i="11" s="1"/>
  <c r="T62" i="11"/>
  <c r="T192" i="11" s="1"/>
  <c r="T66" i="11"/>
  <c r="T196" i="11" s="1"/>
  <c r="T79" i="11"/>
  <c r="T209" i="11" s="1"/>
  <c r="T63" i="11"/>
  <c r="T193" i="11" s="1"/>
  <c r="S122" i="11"/>
  <c r="S252" i="11" s="1"/>
  <c r="S118" i="11"/>
  <c r="S248" i="11" s="1"/>
  <c r="S123" i="11"/>
  <c r="S253" i="11" s="1"/>
  <c r="S119" i="11"/>
  <c r="S249" i="11" s="1"/>
  <c r="S124" i="11"/>
  <c r="S254" i="11" s="1"/>
  <c r="S120" i="11"/>
  <c r="S250" i="11" s="1"/>
  <c r="S115" i="11"/>
  <c r="S245" i="11" s="1"/>
  <c r="S111" i="11"/>
  <c r="S241" i="11" s="1"/>
  <c r="S106" i="11"/>
  <c r="S236" i="11" s="1"/>
  <c r="S112" i="11"/>
  <c r="S242" i="11" s="1"/>
  <c r="S108" i="11"/>
  <c r="S238" i="11" s="1"/>
  <c r="S114" i="11"/>
  <c r="S244" i="11" s="1"/>
  <c r="S105" i="11"/>
  <c r="S235" i="11" s="1"/>
  <c r="S121" i="11"/>
  <c r="S251" i="11" s="1"/>
  <c r="S113" i="11"/>
  <c r="S243" i="11" s="1"/>
  <c r="S110" i="11"/>
  <c r="S240" i="11" s="1"/>
  <c r="S104" i="11"/>
  <c r="S234" i="11" s="1"/>
  <c r="S107" i="11"/>
  <c r="S237" i="11" s="1"/>
  <c r="S116" i="11"/>
  <c r="S246" i="11" s="1"/>
  <c r="H31" i="11"/>
  <c r="T8" i="11"/>
  <c r="T138" i="11" s="1"/>
  <c r="T15" i="11"/>
  <c r="T145" i="11" s="1"/>
  <c r="S30" i="11"/>
  <c r="S160" i="11" s="1"/>
  <c r="H27" i="11"/>
  <c r="Y109" i="11" s="1"/>
  <c r="H24" i="11"/>
  <c r="Y80" i="11" s="1"/>
  <c r="G65" i="11"/>
  <c r="H34" i="11"/>
  <c r="U103" i="11"/>
  <c r="U233" i="11" s="1"/>
  <c r="U100" i="11"/>
  <c r="U230" i="11" s="1"/>
  <c r="U96" i="11"/>
  <c r="U226" i="11" s="1"/>
  <c r="U92" i="11"/>
  <c r="U222" i="11" s="1"/>
  <c r="U86" i="11"/>
  <c r="U216" i="11" s="1"/>
  <c r="U82" i="11"/>
  <c r="U212" i="11" s="1"/>
  <c r="U101" i="11"/>
  <c r="U231" i="11" s="1"/>
  <c r="U97" i="11"/>
  <c r="U227" i="11" s="1"/>
  <c r="U93" i="11"/>
  <c r="U223" i="11" s="1"/>
  <c r="U87" i="11"/>
  <c r="U217" i="11" s="1"/>
  <c r="U83" i="11"/>
  <c r="U213" i="11" s="1"/>
  <c r="U99" i="11"/>
  <c r="U229" i="11" s="1"/>
  <c r="U95" i="11"/>
  <c r="U225" i="11" s="1"/>
  <c r="U90" i="11"/>
  <c r="U220" i="11" s="1"/>
  <c r="U85" i="11"/>
  <c r="U215" i="11" s="1"/>
  <c r="U88" i="11"/>
  <c r="U218" i="11" s="1"/>
  <c r="U94" i="11"/>
  <c r="U224" i="11" s="1"/>
  <c r="U98" i="11"/>
  <c r="U228" i="11" s="1"/>
  <c r="U84" i="11"/>
  <c r="U214" i="11" s="1"/>
  <c r="U102" i="11"/>
  <c r="U232" i="11" s="1"/>
  <c r="W60" i="11"/>
  <c r="W190" i="11" s="1"/>
  <c r="W55" i="11"/>
  <c r="W185" i="11" s="1"/>
  <c r="W51" i="11"/>
  <c r="W181" i="11" s="1"/>
  <c r="W47" i="11"/>
  <c r="W177" i="11" s="1"/>
  <c r="W43" i="11"/>
  <c r="W173" i="11" s="1"/>
  <c r="W39" i="11"/>
  <c r="W169" i="11" s="1"/>
  <c r="W57" i="11"/>
  <c r="W187" i="11" s="1"/>
  <c r="W41" i="11"/>
  <c r="W171" i="11" s="1"/>
  <c r="W46" i="11"/>
  <c r="W176" i="11" s="1"/>
  <c r="W50" i="11"/>
  <c r="W180" i="11" s="1"/>
  <c r="W48" i="11"/>
  <c r="W178" i="11" s="1"/>
  <c r="W44" i="11"/>
  <c r="W174" i="11" s="1"/>
  <c r="W37" i="11"/>
  <c r="W167" i="11" s="1"/>
  <c r="W52" i="11"/>
  <c r="W182" i="11" s="1"/>
  <c r="W42" i="11"/>
  <c r="W172" i="11" s="1"/>
  <c r="W54" i="11"/>
  <c r="W184" i="11" s="1"/>
  <c r="W58" i="11"/>
  <c r="W188" i="11" s="1"/>
  <c r="W56" i="11"/>
  <c r="W186" i="11" s="1"/>
  <c r="W61" i="11"/>
  <c r="W191" i="11" s="1"/>
  <c r="W49" i="11"/>
  <c r="W179" i="11" s="1"/>
  <c r="W45" i="11"/>
  <c r="W175" i="11" s="1"/>
  <c r="W36" i="11"/>
  <c r="W166" i="11" s="1"/>
  <c r="T32" i="11"/>
  <c r="T162" i="11" s="1"/>
  <c r="T28" i="11"/>
  <c r="T158" i="11" s="1"/>
  <c r="T24" i="11"/>
  <c r="T154" i="11" s="1"/>
  <c r="T20" i="11"/>
  <c r="T150" i="11" s="1"/>
  <c r="T29" i="11"/>
  <c r="T159" i="11" s="1"/>
  <c r="T34" i="11"/>
  <c r="T164" i="11" s="1"/>
  <c r="T27" i="11"/>
  <c r="T157" i="11" s="1"/>
  <c r="T18" i="11"/>
  <c r="T148" i="11" s="1"/>
  <c r="T14" i="11"/>
  <c r="T144" i="11" s="1"/>
  <c r="T10" i="11"/>
  <c r="T140" i="11" s="1"/>
  <c r="T25" i="11"/>
  <c r="T155" i="11" s="1"/>
  <c r="T23" i="11"/>
  <c r="T153" i="11" s="1"/>
  <c r="T7" i="11"/>
  <c r="T137" i="11" s="1"/>
  <c r="T30" i="11"/>
  <c r="T160" i="11" s="1"/>
  <c r="T11" i="11"/>
  <c r="T141" i="11" s="1"/>
  <c r="T33" i="11"/>
  <c r="T163" i="11" s="1"/>
  <c r="H33" i="11"/>
  <c r="H23" i="11"/>
  <c r="Y69" i="11" s="1"/>
  <c r="T12" i="11"/>
  <c r="T142" i="11" s="1"/>
  <c r="T16" i="11"/>
  <c r="T146" i="11" s="1"/>
  <c r="T21" i="11"/>
  <c r="T151" i="11" s="1"/>
  <c r="T26" i="11"/>
  <c r="T156" i="11" s="1"/>
  <c r="T31" i="11"/>
  <c r="T161" i="11" s="1"/>
  <c r="V124" i="11"/>
  <c r="V254" i="11" s="1"/>
  <c r="V120" i="11"/>
  <c r="V250" i="11" s="1"/>
  <c r="V115" i="11"/>
  <c r="V245" i="11" s="1"/>
  <c r="V111" i="11"/>
  <c r="V241" i="11" s="1"/>
  <c r="V106" i="11"/>
  <c r="V236" i="11" s="1"/>
  <c r="V121" i="11"/>
  <c r="V251" i="11" s="1"/>
  <c r="V116" i="11"/>
  <c r="V246" i="11" s="1"/>
  <c r="V112" i="11"/>
  <c r="V242" i="11" s="1"/>
  <c r="V107" i="11"/>
  <c r="V237" i="11" s="1"/>
  <c r="V122" i="11"/>
  <c r="V252" i="11" s="1"/>
  <c r="V118" i="11"/>
  <c r="V248" i="11" s="1"/>
  <c r="V113" i="11"/>
  <c r="V243" i="11" s="1"/>
  <c r="V108" i="11"/>
  <c r="V238" i="11" s="1"/>
  <c r="V104" i="11"/>
  <c r="V234" i="11" s="1"/>
  <c r="V119" i="11"/>
  <c r="V249" i="11" s="1"/>
  <c r="V114" i="11"/>
  <c r="V244" i="11" s="1"/>
  <c r="V105" i="11"/>
  <c r="V235" i="11" s="1"/>
  <c r="V123" i="11"/>
  <c r="V253" i="11" s="1"/>
  <c r="V110" i="11"/>
  <c r="V240" i="11" s="1"/>
  <c r="H26" i="11"/>
  <c r="Y91" i="11" s="1"/>
  <c r="V9" i="11"/>
  <c r="V139" i="11" s="1"/>
  <c r="T13" i="11"/>
  <c r="T143" i="11" s="1"/>
  <c r="V27" i="11"/>
  <c r="V157" i="11" s="1"/>
  <c r="H21" i="11"/>
  <c r="Y17" i="11" s="1"/>
  <c r="V13" i="11"/>
  <c r="V143" i="11" s="1"/>
  <c r="S23" i="11"/>
  <c r="S153" i="11" s="1"/>
  <c r="S28" i="11"/>
  <c r="S158" i="11" s="1"/>
  <c r="T37" i="11"/>
  <c r="T167" i="11" s="1"/>
  <c r="T42" i="11"/>
  <c r="T172" i="11" s="1"/>
  <c r="W53" i="11"/>
  <c r="W183" i="11" s="1"/>
  <c r="H20" i="11"/>
  <c r="H25" i="11"/>
  <c r="Y89" i="11" s="1"/>
  <c r="S137" i="11"/>
  <c r="V10" i="11"/>
  <c r="V140" i="11" s="1"/>
  <c r="T19" i="11"/>
  <c r="T149" i="11" s="1"/>
  <c r="S24" i="11"/>
  <c r="S154" i="11" s="1"/>
  <c r="T38" i="11"/>
  <c r="T168" i="11" s="1"/>
  <c r="T54" i="11"/>
  <c r="T184" i="11" s="1"/>
  <c r="T123" i="11"/>
  <c r="T253" i="11" s="1"/>
  <c r="T119" i="11"/>
  <c r="T249" i="11" s="1"/>
  <c r="T114" i="11"/>
  <c r="T244" i="11" s="1"/>
  <c r="T110" i="11"/>
  <c r="T240" i="11" s="1"/>
  <c r="T105" i="11"/>
  <c r="T235" i="11" s="1"/>
  <c r="T124" i="11"/>
  <c r="T254" i="11" s="1"/>
  <c r="T120" i="11"/>
  <c r="T250" i="11" s="1"/>
  <c r="T115" i="11"/>
  <c r="T245" i="11" s="1"/>
  <c r="T111" i="11"/>
  <c r="T241" i="11" s="1"/>
  <c r="T106" i="11"/>
  <c r="T236" i="11" s="1"/>
  <c r="T121" i="11"/>
  <c r="T251" i="11" s="1"/>
  <c r="T116" i="11"/>
  <c r="T246" i="11" s="1"/>
  <c r="T112" i="11"/>
  <c r="T242" i="11" s="1"/>
  <c r="T107" i="11"/>
  <c r="T237" i="11" s="1"/>
  <c r="T108" i="11"/>
  <c r="T238" i="11" s="1"/>
  <c r="T118" i="11"/>
  <c r="T248" i="11" s="1"/>
  <c r="T104" i="11"/>
  <c r="T234" i="11" s="1"/>
  <c r="T122" i="11"/>
  <c r="T252" i="11" s="1"/>
  <c r="T113" i="11"/>
  <c r="T243" i="11" s="1"/>
  <c r="V78" i="11"/>
  <c r="V208" i="11" s="1"/>
  <c r="V74" i="11"/>
  <c r="V204" i="11" s="1"/>
  <c r="V70" i="11"/>
  <c r="V200" i="11" s="1"/>
  <c r="V65" i="11"/>
  <c r="V195" i="11" s="1"/>
  <c r="V79" i="11"/>
  <c r="V209" i="11" s="1"/>
  <c r="V75" i="11"/>
  <c r="V205" i="11" s="1"/>
  <c r="V71" i="11"/>
  <c r="V201" i="11" s="1"/>
  <c r="V66" i="11"/>
  <c r="V196" i="11" s="1"/>
  <c r="V62" i="11"/>
  <c r="V192" i="11" s="1"/>
  <c r="V77" i="11"/>
  <c r="V207" i="11" s="1"/>
  <c r="V73" i="11"/>
  <c r="V203" i="11" s="1"/>
  <c r="V68" i="11"/>
  <c r="V198" i="11" s="1"/>
  <c r="V72" i="11"/>
  <c r="V202" i="11" s="1"/>
  <c r="V76" i="11"/>
  <c r="V206" i="11" s="1"/>
  <c r="V67" i="11"/>
  <c r="V197" i="11" s="1"/>
  <c r="V64" i="11"/>
  <c r="V194" i="11" s="1"/>
  <c r="V81" i="11"/>
  <c r="V211" i="11" s="1"/>
  <c r="V63" i="11"/>
  <c r="V193" i="11" s="1"/>
  <c r="G61" i="11"/>
  <c r="H30" i="11"/>
  <c r="H28" i="11"/>
  <c r="Y117" i="11" s="1"/>
  <c r="V7" i="11"/>
  <c r="V137" i="11" s="1"/>
  <c r="V14" i="11"/>
  <c r="V144" i="11" s="1"/>
  <c r="W38" i="11"/>
  <c r="W168" i="11" s="1"/>
  <c r="W103" i="11"/>
  <c r="W233" i="11" s="1"/>
  <c r="W101" i="11"/>
  <c r="W231" i="11" s="1"/>
  <c r="W97" i="11"/>
  <c r="W227" i="11" s="1"/>
  <c r="W93" i="11"/>
  <c r="W223" i="11" s="1"/>
  <c r="W87" i="11"/>
  <c r="W217" i="11" s="1"/>
  <c r="W83" i="11"/>
  <c r="W213" i="11" s="1"/>
  <c r="W98" i="11"/>
  <c r="W228" i="11" s="1"/>
  <c r="W94" i="11"/>
  <c r="W224" i="11" s="1"/>
  <c r="W88" i="11"/>
  <c r="W218" i="11" s="1"/>
  <c r="W84" i="11"/>
  <c r="W214" i="11" s="1"/>
  <c r="W100" i="11"/>
  <c r="W230" i="11" s="1"/>
  <c r="W96" i="11"/>
  <c r="W226" i="11" s="1"/>
  <c r="W92" i="11"/>
  <c r="W222" i="11" s="1"/>
  <c r="W86" i="11"/>
  <c r="W216" i="11" s="1"/>
  <c r="W82" i="11"/>
  <c r="W212" i="11" s="1"/>
  <c r="W95" i="11"/>
  <c r="W225" i="11" s="1"/>
  <c r="W99" i="11"/>
  <c r="W229" i="11" s="1"/>
  <c r="W85" i="11"/>
  <c r="W215" i="11" s="1"/>
  <c r="W102" i="11"/>
  <c r="W232" i="11" s="1"/>
  <c r="W90" i="11"/>
  <c r="W220" i="11" s="1"/>
  <c r="V33" i="11"/>
  <c r="V163" i="11" s="1"/>
  <c r="V29" i="11"/>
  <c r="V159" i="11" s="1"/>
  <c r="V25" i="11"/>
  <c r="V155" i="11" s="1"/>
  <c r="V21" i="11"/>
  <c r="V151" i="11" s="1"/>
  <c r="V34" i="11"/>
  <c r="V164" i="11" s="1"/>
  <c r="V18" i="11"/>
  <c r="V148" i="11" s="1"/>
  <c r="V32" i="11"/>
  <c r="V162" i="11" s="1"/>
  <c r="V23" i="11"/>
  <c r="V153" i="11" s="1"/>
  <c r="V11" i="11"/>
  <c r="V141" i="11" s="1"/>
  <c r="V30" i="11"/>
  <c r="V160" i="11" s="1"/>
  <c r="V15" i="11"/>
  <c r="V145" i="11" s="1"/>
  <c r="V19" i="11"/>
  <c r="V149" i="11" s="1"/>
  <c r="V12" i="11"/>
  <c r="V142" i="11" s="1"/>
  <c r="V35" i="11"/>
  <c r="V165" i="11" s="1"/>
  <c r="V28" i="11"/>
  <c r="V158" i="11" s="1"/>
  <c r="V8" i="11"/>
  <c r="V138" i="11" s="1"/>
  <c r="V22" i="11"/>
  <c r="V152" i="11" s="1"/>
  <c r="S11" i="11"/>
  <c r="S141" i="11" s="1"/>
  <c r="S15" i="11"/>
  <c r="S145" i="11" s="1"/>
  <c r="V20" i="11"/>
  <c r="V150" i="11" s="1"/>
  <c r="W124" i="11"/>
  <c r="W254" i="11" s="1"/>
  <c r="W120" i="11"/>
  <c r="W250" i="11" s="1"/>
  <c r="W121" i="11"/>
  <c r="W251" i="11" s="1"/>
  <c r="W116" i="11"/>
  <c r="W246" i="11" s="1"/>
  <c r="W122" i="11"/>
  <c r="W252" i="11" s="1"/>
  <c r="W118" i="11"/>
  <c r="W248" i="11" s="1"/>
  <c r="W113" i="11"/>
  <c r="W243" i="11" s="1"/>
  <c r="W108" i="11"/>
  <c r="W238" i="11" s="1"/>
  <c r="W104" i="11"/>
  <c r="W234" i="11" s="1"/>
  <c r="W119" i="11"/>
  <c r="W249" i="11" s="1"/>
  <c r="W114" i="11"/>
  <c r="W244" i="11" s="1"/>
  <c r="W105" i="11"/>
  <c r="W235" i="11" s="1"/>
  <c r="W123" i="11"/>
  <c r="W253" i="11" s="1"/>
  <c r="W111" i="11"/>
  <c r="W241" i="11" s="1"/>
  <c r="W107" i="11"/>
  <c r="W237" i="11" s="1"/>
  <c r="W115" i="11"/>
  <c r="W245" i="11" s="1"/>
  <c r="W106" i="11"/>
  <c r="W236" i="11" s="1"/>
  <c r="W112" i="11"/>
  <c r="W242" i="11" s="1"/>
  <c r="T103" i="11"/>
  <c r="T233" i="11" s="1"/>
  <c r="T100" i="11"/>
  <c r="T230" i="11" s="1"/>
  <c r="T96" i="11"/>
  <c r="T226" i="11" s="1"/>
  <c r="T92" i="11"/>
  <c r="T222" i="11" s="1"/>
  <c r="T86" i="11"/>
  <c r="T216" i="11" s="1"/>
  <c r="T82" i="11"/>
  <c r="T212" i="11" s="1"/>
  <c r="T101" i="11"/>
  <c r="T231" i="11" s="1"/>
  <c r="T97" i="11"/>
  <c r="T227" i="11" s="1"/>
  <c r="T93" i="11"/>
  <c r="T223" i="11" s="1"/>
  <c r="T87" i="11"/>
  <c r="T217" i="11" s="1"/>
  <c r="T83" i="11"/>
  <c r="T213" i="11" s="1"/>
  <c r="T102" i="11"/>
  <c r="T232" i="11" s="1"/>
  <c r="T99" i="11"/>
  <c r="T229" i="11" s="1"/>
  <c r="T95" i="11"/>
  <c r="T225" i="11" s="1"/>
  <c r="T90" i="11"/>
  <c r="T220" i="11" s="1"/>
  <c r="T85" i="11"/>
  <c r="T215" i="11" s="1"/>
  <c r="V61" i="11"/>
  <c r="V191" i="11" s="1"/>
  <c r="V56" i="11"/>
  <c r="V186" i="11" s="1"/>
  <c r="V52" i="11"/>
  <c r="V182" i="11" s="1"/>
  <c r="V48" i="11"/>
  <c r="V178" i="11" s="1"/>
  <c r="V57" i="11"/>
  <c r="V187" i="11" s="1"/>
  <c r="V53" i="11"/>
  <c r="V183" i="11" s="1"/>
  <c r="V49" i="11"/>
  <c r="V179" i="11" s="1"/>
  <c r="V45" i="11"/>
  <c r="V175" i="11" s="1"/>
  <c r="V41" i="11"/>
  <c r="V171" i="11" s="1"/>
  <c r="V37" i="11"/>
  <c r="V167" i="11" s="1"/>
  <c r="V38" i="11"/>
  <c r="V168" i="11" s="1"/>
  <c r="V47" i="11"/>
  <c r="V177" i="11" s="1"/>
  <c r="S73" i="11"/>
  <c r="S203" i="11" s="1"/>
  <c r="T94" i="11"/>
  <c r="T224" i="11" s="1"/>
  <c r="S81" i="11"/>
  <c r="S211" i="11" s="1"/>
  <c r="S76" i="11"/>
  <c r="S206" i="11" s="1"/>
  <c r="S72" i="11"/>
  <c r="S202" i="11" s="1"/>
  <c r="S67" i="11"/>
  <c r="S197" i="11" s="1"/>
  <c r="S77" i="11"/>
  <c r="S207" i="11" s="1"/>
  <c r="S79" i="11"/>
  <c r="S209" i="11" s="1"/>
  <c r="S205" i="11"/>
  <c r="S71" i="11"/>
  <c r="S201" i="11" s="1"/>
  <c r="S66" i="11"/>
  <c r="S196" i="11" s="1"/>
  <c r="S62" i="11"/>
  <c r="S192" i="11" s="1"/>
  <c r="X103" i="11"/>
  <c r="X233" i="11" s="1"/>
  <c r="X101" i="11"/>
  <c r="X231" i="11" s="1"/>
  <c r="X98" i="11"/>
  <c r="X228" i="11" s="1"/>
  <c r="X94" i="11"/>
  <c r="X224" i="11" s="1"/>
  <c r="X88" i="11"/>
  <c r="X218" i="11" s="1"/>
  <c r="X84" i="11"/>
  <c r="X214" i="11" s="1"/>
  <c r="X102" i="11"/>
  <c r="X232" i="11" s="1"/>
  <c r="X99" i="11"/>
  <c r="X229" i="11" s="1"/>
  <c r="X95" i="11"/>
  <c r="X225" i="11" s="1"/>
  <c r="X90" i="11"/>
  <c r="X220" i="11" s="1"/>
  <c r="X85" i="11"/>
  <c r="X215" i="11" s="1"/>
  <c r="X97" i="11"/>
  <c r="X227" i="11" s="1"/>
  <c r="X93" i="11"/>
  <c r="X223" i="11" s="1"/>
  <c r="X87" i="11"/>
  <c r="X217" i="11" s="1"/>
  <c r="X83" i="11"/>
  <c r="X213" i="11" s="1"/>
  <c r="U77" i="11"/>
  <c r="U207" i="11" s="1"/>
  <c r="U73" i="11"/>
  <c r="U203" i="11" s="1"/>
  <c r="U68" i="11"/>
  <c r="U198" i="11" s="1"/>
  <c r="U78" i="11"/>
  <c r="U208" i="11" s="1"/>
  <c r="U74" i="11"/>
  <c r="U204" i="11" s="1"/>
  <c r="U81" i="11"/>
  <c r="U211" i="11" s="1"/>
  <c r="U76" i="11"/>
  <c r="U206" i="11" s="1"/>
  <c r="U72" i="11"/>
  <c r="U202" i="11" s="1"/>
  <c r="U67" i="11"/>
  <c r="U197" i="11" s="1"/>
  <c r="U63" i="11"/>
  <c r="U193" i="11" s="1"/>
  <c r="V46" i="11"/>
  <c r="V176" i="11" s="1"/>
  <c r="U62" i="11"/>
  <c r="U192" i="11" s="1"/>
  <c r="U71" i="11"/>
  <c r="U201" i="11" s="1"/>
  <c r="U75" i="11"/>
  <c r="U205" i="11" s="1"/>
  <c r="V39" i="11"/>
  <c r="V169" i="11" s="1"/>
  <c r="V60" i="11"/>
  <c r="V190" i="11" s="1"/>
  <c r="X82" i="11"/>
  <c r="X212" i="11" s="1"/>
  <c r="T88" i="11"/>
  <c r="T218" i="11" s="1"/>
  <c r="X100" i="11"/>
  <c r="X230" i="11" s="1"/>
  <c r="V55" i="11"/>
  <c r="V185" i="11" s="1"/>
  <c r="S63" i="11"/>
  <c r="S193" i="11" s="1"/>
  <c r="S65" i="11"/>
  <c r="S195" i="11" s="1"/>
  <c r="W110" i="11"/>
  <c r="W240" i="11" s="1"/>
  <c r="AA130" i="11"/>
  <c r="B62" i="11"/>
  <c r="F61" i="11"/>
  <c r="E64" i="11"/>
  <c r="G62" i="11"/>
  <c r="D61" i="11"/>
  <c r="G63" i="11"/>
  <c r="D62" i="11"/>
  <c r="K5" i="11"/>
  <c r="K6" i="12" s="1"/>
  <c r="K7" i="12" s="1"/>
  <c r="K5" i="12" s="1"/>
  <c r="E5" i="3"/>
  <c r="H5" i="3" s="1"/>
  <c r="Y6" i="11" l="1"/>
  <c r="H35" i="11"/>
  <c r="I22" i="11"/>
  <c r="Z59" i="11" s="1"/>
  <c r="Y59" i="11"/>
  <c r="H54" i="11"/>
  <c r="O11" i="3"/>
  <c r="O77" i="3"/>
  <c r="O24" i="3"/>
  <c r="O120" i="3"/>
  <c r="O51" i="3"/>
  <c r="O101" i="3"/>
  <c r="O63" i="3"/>
  <c r="O30" i="3"/>
  <c r="O124" i="3"/>
  <c r="O75" i="3"/>
  <c r="O105" i="3"/>
  <c r="O85" i="3"/>
  <c r="O32" i="3"/>
  <c r="O60" i="3"/>
  <c r="O112" i="3"/>
  <c r="O72" i="3"/>
  <c r="O95" i="3"/>
  <c r="O83" i="3"/>
  <c r="O128" i="3"/>
  <c r="O109" i="3"/>
  <c r="O50" i="3"/>
  <c r="O56" i="3"/>
  <c r="O70" i="3"/>
  <c r="O26" i="3"/>
  <c r="O91" i="3"/>
  <c r="O38" i="3"/>
  <c r="O20" i="3"/>
  <c r="O93" i="3"/>
  <c r="O21" i="3"/>
  <c r="O119" i="3"/>
  <c r="O58" i="3"/>
  <c r="O8" i="3"/>
  <c r="O80" i="3"/>
  <c r="O35" i="3"/>
  <c r="O40" i="3"/>
  <c r="O102" i="3"/>
  <c r="O46" i="3"/>
  <c r="O107" i="3"/>
  <c r="O116" i="3"/>
  <c r="O114" i="3"/>
  <c r="O41" i="3"/>
  <c r="O67" i="3"/>
  <c r="O14" i="3"/>
  <c r="O87" i="3"/>
  <c r="O44" i="3"/>
  <c r="O117" i="3"/>
  <c r="O113" i="3"/>
  <c r="O54" i="3"/>
  <c r="O126" i="3"/>
  <c r="O49" i="3"/>
  <c r="O79" i="3"/>
  <c r="O25" i="3"/>
  <c r="O100" i="3"/>
  <c r="O52" i="3"/>
  <c r="O17" i="3"/>
  <c r="O123" i="3"/>
  <c r="O64" i="3"/>
  <c r="O12" i="3"/>
  <c r="O127" i="3"/>
  <c r="O57" i="3"/>
  <c r="O9" i="3"/>
  <c r="O86" i="3"/>
  <c r="O34" i="3"/>
  <c r="O111" i="3"/>
  <c r="O71" i="3"/>
  <c r="O37" i="3"/>
  <c r="O104" i="3"/>
  <c r="O39" i="3"/>
  <c r="O76" i="3"/>
  <c r="T135" i="11"/>
  <c r="Y247" i="11"/>
  <c r="H63" i="11"/>
  <c r="Y70" i="11" s="1"/>
  <c r="Y200" i="11" s="1"/>
  <c r="X57" i="11"/>
  <c r="X187" i="11" s="1"/>
  <c r="X53" i="11"/>
  <c r="X183" i="11" s="1"/>
  <c r="X49" i="11"/>
  <c r="X179" i="11" s="1"/>
  <c r="X58" i="11"/>
  <c r="X188" i="11" s="1"/>
  <c r="X54" i="11"/>
  <c r="X184" i="11" s="1"/>
  <c r="X50" i="11"/>
  <c r="X180" i="11" s="1"/>
  <c r="X46" i="11"/>
  <c r="X176" i="11" s="1"/>
  <c r="X42" i="11"/>
  <c r="X172" i="11" s="1"/>
  <c r="X38" i="11"/>
  <c r="X168" i="11" s="1"/>
  <c r="X60" i="11"/>
  <c r="X190" i="11" s="1"/>
  <c r="X39" i="11"/>
  <c r="X169" i="11" s="1"/>
  <c r="X48" i="11"/>
  <c r="X178" i="11" s="1"/>
  <c r="X44" i="11"/>
  <c r="X174" i="11" s="1"/>
  <c r="X37" i="11"/>
  <c r="X167" i="11" s="1"/>
  <c r="X52" i="11"/>
  <c r="X182" i="11" s="1"/>
  <c r="X56" i="11"/>
  <c r="X186" i="11" s="1"/>
  <c r="X40" i="11"/>
  <c r="X170" i="11" s="1"/>
  <c r="X61" i="11"/>
  <c r="X191" i="11" s="1"/>
  <c r="X51" i="11"/>
  <c r="X181" i="11" s="1"/>
  <c r="X43" i="11"/>
  <c r="X173" i="11" s="1"/>
  <c r="X55" i="11"/>
  <c r="X185" i="11" s="1"/>
  <c r="X47" i="11"/>
  <c r="X177" i="11" s="1"/>
  <c r="X45" i="11"/>
  <c r="X175" i="11" s="1"/>
  <c r="X41" i="11"/>
  <c r="X171" i="11" s="1"/>
  <c r="X36" i="11"/>
  <c r="X166" i="11" s="1"/>
  <c r="X34" i="11"/>
  <c r="X164" i="11" s="1"/>
  <c r="X30" i="11"/>
  <c r="X160" i="11" s="1"/>
  <c r="X26" i="11"/>
  <c r="X156" i="11" s="1"/>
  <c r="X22" i="11"/>
  <c r="X152" i="11" s="1"/>
  <c r="X18" i="11"/>
  <c r="X148" i="11" s="1"/>
  <c r="X23" i="11"/>
  <c r="X153" i="11" s="1"/>
  <c r="X15" i="11"/>
  <c r="X145" i="11" s="1"/>
  <c r="X28" i="11"/>
  <c r="X158" i="11" s="1"/>
  <c r="X21" i="11"/>
  <c r="X151" i="11" s="1"/>
  <c r="X12" i="11"/>
  <c r="X142" i="11" s="1"/>
  <c r="X8" i="11"/>
  <c r="X138" i="11" s="1"/>
  <c r="X35" i="11"/>
  <c r="X165" i="11" s="1"/>
  <c r="X19" i="11"/>
  <c r="X149" i="11" s="1"/>
  <c r="X33" i="11"/>
  <c r="X163" i="11" s="1"/>
  <c r="X16" i="11"/>
  <c r="X146" i="11" s="1"/>
  <c r="X13" i="11"/>
  <c r="X143" i="11" s="1"/>
  <c r="X9" i="11"/>
  <c r="X139" i="11" s="1"/>
  <c r="X24" i="11"/>
  <c r="X154" i="11" s="1"/>
  <c r="X27" i="11"/>
  <c r="X157" i="11" s="1"/>
  <c r="X14" i="11"/>
  <c r="X144" i="11" s="1"/>
  <c r="X29" i="11"/>
  <c r="X159" i="11" s="1"/>
  <c r="X7" i="11"/>
  <c r="X137" i="11" s="1"/>
  <c r="X10" i="11"/>
  <c r="X140" i="11" s="1"/>
  <c r="X32" i="11"/>
  <c r="X162" i="11" s="1"/>
  <c r="X31" i="11"/>
  <c r="X161" i="11" s="1"/>
  <c r="X25" i="11"/>
  <c r="X155" i="11" s="1"/>
  <c r="X20" i="11"/>
  <c r="X150" i="11" s="1"/>
  <c r="X11" i="11"/>
  <c r="X141" i="11" s="1"/>
  <c r="I33" i="11"/>
  <c r="H64" i="11"/>
  <c r="V102" i="11"/>
  <c r="V232" i="11" s="1"/>
  <c r="V103" i="11"/>
  <c r="V233" i="11" s="1"/>
  <c r="V101" i="11"/>
  <c r="V231" i="11" s="1"/>
  <c r="V97" i="11"/>
  <c r="V227" i="11" s="1"/>
  <c r="V93" i="11"/>
  <c r="V223" i="11" s="1"/>
  <c r="V87" i="11"/>
  <c r="V217" i="11" s="1"/>
  <c r="V83" i="11"/>
  <c r="V213" i="11" s="1"/>
  <c r="V98" i="11"/>
  <c r="V228" i="11" s="1"/>
  <c r="V94" i="11"/>
  <c r="V224" i="11" s="1"/>
  <c r="V88" i="11"/>
  <c r="V218" i="11" s="1"/>
  <c r="V84" i="11"/>
  <c r="V214" i="11" s="1"/>
  <c r="V100" i="11"/>
  <c r="V230" i="11" s="1"/>
  <c r="V96" i="11"/>
  <c r="V226" i="11" s="1"/>
  <c r="V92" i="11"/>
  <c r="V222" i="11" s="1"/>
  <c r="V86" i="11"/>
  <c r="V216" i="11" s="1"/>
  <c r="V82" i="11"/>
  <c r="V212" i="11" s="1"/>
  <c r="V95" i="11"/>
  <c r="V225" i="11" s="1"/>
  <c r="V99" i="11"/>
  <c r="V229" i="11" s="1"/>
  <c r="V85" i="11"/>
  <c r="V215" i="11" s="1"/>
  <c r="V90" i="11"/>
  <c r="V220" i="11" s="1"/>
  <c r="S57" i="11"/>
  <c r="S187" i="11" s="1"/>
  <c r="S53" i="11"/>
  <c r="S183" i="11" s="1"/>
  <c r="S49" i="11"/>
  <c r="S179" i="11" s="1"/>
  <c r="S45" i="11"/>
  <c r="S175" i="11" s="1"/>
  <c r="S41" i="11"/>
  <c r="S171" i="11" s="1"/>
  <c r="S37" i="11"/>
  <c r="S167" i="11" s="1"/>
  <c r="S47" i="11"/>
  <c r="S177" i="11" s="1"/>
  <c r="S38" i="11"/>
  <c r="S168" i="11" s="1"/>
  <c r="S51" i="11"/>
  <c r="S181" i="11" s="1"/>
  <c r="S36" i="11"/>
  <c r="S166" i="11" s="1"/>
  <c r="S55" i="11"/>
  <c r="S185" i="11" s="1"/>
  <c r="S43" i="11"/>
  <c r="S173" i="11" s="1"/>
  <c r="S60" i="11"/>
  <c r="S190" i="11" s="1"/>
  <c r="S48" i="11"/>
  <c r="S178" i="11" s="1"/>
  <c r="S56" i="11"/>
  <c r="S186" i="11" s="1"/>
  <c r="S54" i="11"/>
  <c r="S184" i="11" s="1"/>
  <c r="S42" i="11"/>
  <c r="S172" i="11" s="1"/>
  <c r="S61" i="11"/>
  <c r="S191" i="11" s="1"/>
  <c r="S44" i="11"/>
  <c r="S174" i="11" s="1"/>
  <c r="S39" i="11"/>
  <c r="S169" i="11" s="1"/>
  <c r="S46" i="11"/>
  <c r="S176" i="11" s="1"/>
  <c r="S52" i="11"/>
  <c r="S182" i="11" s="1"/>
  <c r="S58" i="11"/>
  <c r="S188" i="11" s="1"/>
  <c r="S50" i="11"/>
  <c r="S180" i="11" s="1"/>
  <c r="S40" i="11"/>
  <c r="S170" i="11" s="1"/>
  <c r="U58" i="11"/>
  <c r="U188" i="11" s="1"/>
  <c r="U54" i="11"/>
  <c r="U184" i="11" s="1"/>
  <c r="U50" i="11"/>
  <c r="U180" i="11" s="1"/>
  <c r="U46" i="11"/>
  <c r="U176" i="11" s="1"/>
  <c r="U42" i="11"/>
  <c r="U172" i="11" s="1"/>
  <c r="U38" i="11"/>
  <c r="U168" i="11" s="1"/>
  <c r="U53" i="11"/>
  <c r="U183" i="11" s="1"/>
  <c r="U51" i="11"/>
  <c r="U181" i="11" s="1"/>
  <c r="U43" i="11"/>
  <c r="U173" i="11" s="1"/>
  <c r="U36" i="11"/>
  <c r="U166" i="11" s="1"/>
  <c r="U57" i="11"/>
  <c r="U187" i="11" s="1"/>
  <c r="U55" i="11"/>
  <c r="U185" i="11" s="1"/>
  <c r="U41" i="11"/>
  <c r="U171" i="11" s="1"/>
  <c r="U60" i="11"/>
  <c r="U190" i="11" s="1"/>
  <c r="U39" i="11"/>
  <c r="U169" i="11" s="1"/>
  <c r="U37" i="11"/>
  <c r="U167" i="11" s="1"/>
  <c r="U48" i="11"/>
  <c r="U178" i="11" s="1"/>
  <c r="U52" i="11"/>
  <c r="U182" i="11" s="1"/>
  <c r="U61" i="11"/>
  <c r="U191" i="11" s="1"/>
  <c r="U40" i="11"/>
  <c r="U170" i="11" s="1"/>
  <c r="U49" i="11"/>
  <c r="U179" i="11" s="1"/>
  <c r="U47" i="11"/>
  <c r="U177" i="11" s="1"/>
  <c r="U45" i="11"/>
  <c r="U175" i="11" s="1"/>
  <c r="U56" i="11"/>
  <c r="U186" i="11" s="1"/>
  <c r="U44" i="11"/>
  <c r="U174" i="11" s="1"/>
  <c r="X79" i="11"/>
  <c r="X209" i="11" s="1"/>
  <c r="X75" i="11"/>
  <c r="X205" i="11" s="1"/>
  <c r="X71" i="11"/>
  <c r="X201" i="11" s="1"/>
  <c r="X66" i="11"/>
  <c r="X196" i="11" s="1"/>
  <c r="X62" i="11"/>
  <c r="X192" i="11" s="1"/>
  <c r="X81" i="11"/>
  <c r="X211" i="11" s="1"/>
  <c r="X76" i="11"/>
  <c r="X206" i="11" s="1"/>
  <c r="X72" i="11"/>
  <c r="X202" i="11" s="1"/>
  <c r="X67" i="11"/>
  <c r="X197" i="11" s="1"/>
  <c r="X63" i="11"/>
  <c r="X193" i="11" s="1"/>
  <c r="X78" i="11"/>
  <c r="X208" i="11" s="1"/>
  <c r="X74" i="11"/>
  <c r="X204" i="11" s="1"/>
  <c r="X70" i="11"/>
  <c r="X200" i="11" s="1"/>
  <c r="X64" i="11"/>
  <c r="X194" i="11" s="1"/>
  <c r="X73" i="11"/>
  <c r="X203" i="11" s="1"/>
  <c r="X65" i="11"/>
  <c r="X195" i="11" s="1"/>
  <c r="X68" i="11"/>
  <c r="X198" i="11" s="1"/>
  <c r="X77" i="11"/>
  <c r="X207" i="11" s="1"/>
  <c r="I34" i="11"/>
  <c r="H65" i="11"/>
  <c r="I31" i="11"/>
  <c r="H62" i="11"/>
  <c r="U34" i="11"/>
  <c r="U164" i="11" s="1"/>
  <c r="U30" i="11"/>
  <c r="U160" i="11" s="1"/>
  <c r="U26" i="11"/>
  <c r="U156" i="11" s="1"/>
  <c r="U22" i="11"/>
  <c r="U152" i="11" s="1"/>
  <c r="U18" i="11"/>
  <c r="U148" i="11" s="1"/>
  <c r="U27" i="11"/>
  <c r="U157" i="11" s="1"/>
  <c r="U20" i="11"/>
  <c r="U150" i="11" s="1"/>
  <c r="U14" i="11"/>
  <c r="U144" i="11" s="1"/>
  <c r="U10" i="11"/>
  <c r="U140" i="11" s="1"/>
  <c r="U25" i="11"/>
  <c r="U155" i="11" s="1"/>
  <c r="U32" i="11"/>
  <c r="U162" i="11" s="1"/>
  <c r="U23" i="11"/>
  <c r="U153" i="11" s="1"/>
  <c r="U11" i="11"/>
  <c r="U141" i="11" s="1"/>
  <c r="U7" i="11"/>
  <c r="U137" i="11" s="1"/>
  <c r="U15" i="11"/>
  <c r="U145" i="11" s="1"/>
  <c r="U21" i="11"/>
  <c r="U151" i="11" s="1"/>
  <c r="U31" i="11"/>
  <c r="U161" i="11" s="1"/>
  <c r="U24" i="11"/>
  <c r="U154" i="11" s="1"/>
  <c r="U16" i="11"/>
  <c r="U146" i="11" s="1"/>
  <c r="U13" i="11"/>
  <c r="U143" i="11" s="1"/>
  <c r="U9" i="11"/>
  <c r="U139" i="11" s="1"/>
  <c r="U29" i="11"/>
  <c r="U159" i="11" s="1"/>
  <c r="U19" i="11"/>
  <c r="U149" i="11" s="1"/>
  <c r="U33" i="11"/>
  <c r="U163" i="11" s="1"/>
  <c r="U28" i="11"/>
  <c r="U158" i="11" s="1"/>
  <c r="U35" i="11"/>
  <c r="U165" i="11" s="1"/>
  <c r="U8" i="11"/>
  <c r="U138" i="11" s="1"/>
  <c r="U12" i="11"/>
  <c r="U142" i="11" s="1"/>
  <c r="H57" i="11"/>
  <c r="I25" i="11"/>
  <c r="Z89" i="11" s="1"/>
  <c r="I21" i="11"/>
  <c r="Z17" i="11" s="1"/>
  <c r="H53" i="11"/>
  <c r="X121" i="11"/>
  <c r="X251" i="11" s="1"/>
  <c r="X116" i="11"/>
  <c r="X246" i="11" s="1"/>
  <c r="X112" i="11"/>
  <c r="X242" i="11" s="1"/>
  <c r="X107" i="11"/>
  <c r="X237" i="11" s="1"/>
  <c r="X122" i="11"/>
  <c r="X252" i="11" s="1"/>
  <c r="X118" i="11"/>
  <c r="X248" i="11" s="1"/>
  <c r="X113" i="11"/>
  <c r="X243" i="11" s="1"/>
  <c r="X108" i="11"/>
  <c r="X238" i="11" s="1"/>
  <c r="X123" i="11"/>
  <c r="X253" i="11" s="1"/>
  <c r="X119" i="11"/>
  <c r="X249" i="11" s="1"/>
  <c r="X114" i="11"/>
  <c r="X244" i="11" s="1"/>
  <c r="X110" i="11"/>
  <c r="X240" i="11" s="1"/>
  <c r="X105" i="11"/>
  <c r="X235" i="11" s="1"/>
  <c r="X124" i="11"/>
  <c r="X254" i="11" s="1"/>
  <c r="X111" i="11"/>
  <c r="X241" i="11" s="1"/>
  <c r="X120" i="11"/>
  <c r="X250" i="11" s="1"/>
  <c r="X106" i="11"/>
  <c r="X236" i="11" s="1"/>
  <c r="X104" i="11"/>
  <c r="X234" i="11" s="1"/>
  <c r="X115" i="11"/>
  <c r="X245" i="11" s="1"/>
  <c r="I20" i="11"/>
  <c r="H52" i="11"/>
  <c r="I24" i="11"/>
  <c r="Z80" i="11" s="1"/>
  <c r="H56" i="11"/>
  <c r="J32" i="11"/>
  <c r="I63" i="11"/>
  <c r="H58" i="11"/>
  <c r="I26" i="11"/>
  <c r="Z91" i="11" s="1"/>
  <c r="H59" i="11"/>
  <c r="I27" i="11"/>
  <c r="Z109" i="11" s="1"/>
  <c r="I28" i="11"/>
  <c r="Z117" i="11" s="1"/>
  <c r="Z247" i="11" s="1"/>
  <c r="H60" i="11"/>
  <c r="W35" i="11"/>
  <c r="W165" i="11" s="1"/>
  <c r="W31" i="11"/>
  <c r="W161" i="11" s="1"/>
  <c r="W27" i="11"/>
  <c r="W157" i="11" s="1"/>
  <c r="W23" i="11"/>
  <c r="W153" i="11" s="1"/>
  <c r="W19" i="11"/>
  <c r="W149" i="11" s="1"/>
  <c r="W14" i="11"/>
  <c r="W144" i="11" s="1"/>
  <c r="W32" i="11"/>
  <c r="W162" i="11" s="1"/>
  <c r="W25" i="11"/>
  <c r="W155" i="11" s="1"/>
  <c r="W11" i="11"/>
  <c r="W141" i="11" s="1"/>
  <c r="W7" i="11"/>
  <c r="W137" i="11" s="1"/>
  <c r="W30" i="11"/>
  <c r="W160" i="11" s="1"/>
  <c r="W15" i="11"/>
  <c r="W145" i="11" s="1"/>
  <c r="W28" i="11"/>
  <c r="W158" i="11" s="1"/>
  <c r="W21" i="11"/>
  <c r="W151" i="11" s="1"/>
  <c r="W12" i="11"/>
  <c r="W142" i="11" s="1"/>
  <c r="W8" i="11"/>
  <c r="W138" i="11" s="1"/>
  <c r="W26" i="11"/>
  <c r="W156" i="11" s="1"/>
  <c r="W29" i="11"/>
  <c r="W159" i="11" s="1"/>
  <c r="W20" i="11"/>
  <c r="W150" i="11" s="1"/>
  <c r="W10" i="11"/>
  <c r="W140" i="11" s="1"/>
  <c r="W34" i="11"/>
  <c r="W164" i="11" s="1"/>
  <c r="W24" i="11"/>
  <c r="W154" i="11" s="1"/>
  <c r="W33" i="11"/>
  <c r="W163" i="11" s="1"/>
  <c r="W13" i="11"/>
  <c r="W143" i="11" s="1"/>
  <c r="W18" i="11"/>
  <c r="W148" i="11" s="1"/>
  <c r="W9" i="11"/>
  <c r="W139" i="11" s="1"/>
  <c r="W22" i="11"/>
  <c r="W152" i="11" s="1"/>
  <c r="W16" i="11"/>
  <c r="W146" i="11" s="1"/>
  <c r="H61" i="11"/>
  <c r="I30" i="11"/>
  <c r="H55" i="11"/>
  <c r="I23" i="11"/>
  <c r="Z69" i="11" s="1"/>
  <c r="J22" i="11"/>
  <c r="AA59" i="11" s="1"/>
  <c r="I54" i="11"/>
  <c r="AB130" i="11"/>
  <c r="L5" i="11"/>
  <c r="F5" i="3"/>
  <c r="I5" i="3" s="1"/>
  <c r="L6" i="12" l="1"/>
  <c r="L7" i="12" s="1"/>
  <c r="L5" i="12" s="1"/>
  <c r="M5" i="11"/>
  <c r="M8" i="11" s="1"/>
  <c r="L8" i="11"/>
  <c r="X135" i="11"/>
  <c r="Z6" i="11"/>
  <c r="I35" i="11"/>
  <c r="Y79" i="11"/>
  <c r="Y209" i="11" s="1"/>
  <c r="Y71" i="11"/>
  <c r="Y201" i="11" s="1"/>
  <c r="Y63" i="11"/>
  <c r="Y193" i="11" s="1"/>
  <c r="Y66" i="11"/>
  <c r="Y196" i="11" s="1"/>
  <c r="Y75" i="11"/>
  <c r="Y205" i="11" s="1"/>
  <c r="Y67" i="11"/>
  <c r="Y197" i="11" s="1"/>
  <c r="Y72" i="11"/>
  <c r="Y202" i="11" s="1"/>
  <c r="Y74" i="11"/>
  <c r="Y204" i="11" s="1"/>
  <c r="Y62" i="11"/>
  <c r="Y192" i="11" s="1"/>
  <c r="V135" i="11"/>
  <c r="S135" i="11"/>
  <c r="W135" i="11"/>
  <c r="U135" i="11"/>
  <c r="O81" i="3"/>
  <c r="Y221" i="11"/>
  <c r="Y219" i="11"/>
  <c r="Y189" i="11"/>
  <c r="Y199" i="11"/>
  <c r="Y210" i="11"/>
  <c r="Y239" i="11"/>
  <c r="Y147" i="11"/>
  <c r="Y68" i="11"/>
  <c r="Y198" i="11" s="1"/>
  <c r="Y77" i="11"/>
  <c r="Y207" i="11" s="1"/>
  <c r="Y76" i="11"/>
  <c r="Y206" i="11" s="1"/>
  <c r="Y64" i="11"/>
  <c r="Y194" i="11" s="1"/>
  <c r="Y78" i="11"/>
  <c r="Y208" i="11" s="1"/>
  <c r="Y73" i="11"/>
  <c r="Y203" i="11" s="1"/>
  <c r="Y81" i="11"/>
  <c r="Y211" i="11" s="1"/>
  <c r="Y136" i="11"/>
  <c r="Y65" i="11"/>
  <c r="Y195" i="11" s="1"/>
  <c r="J20" i="11"/>
  <c r="I52" i="11"/>
  <c r="I58" i="11"/>
  <c r="J26" i="11"/>
  <c r="AA91" i="11" s="1"/>
  <c r="J25" i="11"/>
  <c r="AA89" i="11" s="1"/>
  <c r="I57" i="11"/>
  <c r="Y30" i="11"/>
  <c r="Y160" i="11" s="1"/>
  <c r="Y22" i="11"/>
  <c r="Y152" i="11" s="1"/>
  <c r="Y15" i="11"/>
  <c r="Y145" i="11" s="1"/>
  <c r="Y33" i="11"/>
  <c r="Y163" i="11" s="1"/>
  <c r="Y25" i="11"/>
  <c r="Y155" i="11" s="1"/>
  <c r="Y12" i="11"/>
  <c r="Y142" i="11" s="1"/>
  <c r="Y28" i="11"/>
  <c r="Y158" i="11" s="1"/>
  <c r="Y20" i="11"/>
  <c r="Y150" i="11" s="1"/>
  <c r="Y9" i="11"/>
  <c r="Y139" i="11" s="1"/>
  <c r="Y31" i="11"/>
  <c r="Y161" i="11" s="1"/>
  <c r="Y23" i="11"/>
  <c r="Y153" i="11" s="1"/>
  <c r="Y14" i="11"/>
  <c r="Y144" i="11" s="1"/>
  <c r="Y34" i="11"/>
  <c r="Y164" i="11" s="1"/>
  <c r="Y26" i="11"/>
  <c r="Y156" i="11" s="1"/>
  <c r="Y18" i="11"/>
  <c r="Y148" i="11" s="1"/>
  <c r="Y11" i="11"/>
  <c r="Y141" i="11" s="1"/>
  <c r="Y29" i="11"/>
  <c r="Y159" i="11" s="1"/>
  <c r="Y21" i="11"/>
  <c r="Y151" i="11" s="1"/>
  <c r="Y8" i="11"/>
  <c r="Y138" i="11" s="1"/>
  <c r="Y16" i="11"/>
  <c r="Y146" i="11" s="1"/>
  <c r="Y7" i="11"/>
  <c r="Y137" i="11" s="1"/>
  <c r="Y27" i="11"/>
  <c r="Y157" i="11" s="1"/>
  <c r="Y32" i="11"/>
  <c r="Y162" i="11" s="1"/>
  <c r="Y13" i="11"/>
  <c r="Y143" i="11" s="1"/>
  <c r="Y19" i="11"/>
  <c r="Y149" i="11" s="1"/>
  <c r="Y35" i="11"/>
  <c r="Y165" i="11" s="1"/>
  <c r="Y10" i="11"/>
  <c r="Y140" i="11" s="1"/>
  <c r="Y24" i="11"/>
  <c r="Y154" i="11" s="1"/>
  <c r="Y51" i="11"/>
  <c r="Y181" i="11" s="1"/>
  <c r="Y38" i="11"/>
  <c r="Y168" i="11" s="1"/>
  <c r="Y46" i="11"/>
  <c r="Y176" i="11" s="1"/>
  <c r="Y56" i="11"/>
  <c r="Y186" i="11" s="1"/>
  <c r="Y43" i="11"/>
  <c r="Y173" i="11" s="1"/>
  <c r="Y61" i="11"/>
  <c r="Y191" i="11" s="1"/>
  <c r="Y53" i="11"/>
  <c r="Y183" i="11" s="1"/>
  <c r="Y40" i="11"/>
  <c r="Y170" i="11" s="1"/>
  <c r="Y48" i="11"/>
  <c r="Y178" i="11" s="1"/>
  <c r="Y36" i="11"/>
  <c r="Y166" i="11" s="1"/>
  <c r="Y58" i="11"/>
  <c r="Y188" i="11" s="1"/>
  <c r="Y45" i="11"/>
  <c r="Y175" i="11" s="1"/>
  <c r="Y55" i="11"/>
  <c r="Y185" i="11" s="1"/>
  <c r="Y42" i="11"/>
  <c r="Y172" i="11" s="1"/>
  <c r="Y50" i="11"/>
  <c r="Y180" i="11" s="1"/>
  <c r="Y52" i="11"/>
  <c r="Y182" i="11" s="1"/>
  <c r="Y39" i="11"/>
  <c r="Y169" i="11" s="1"/>
  <c r="Y47" i="11"/>
  <c r="Y177" i="11" s="1"/>
  <c r="Y37" i="11"/>
  <c r="Y167" i="11" s="1"/>
  <c r="Y57" i="11"/>
  <c r="Y187" i="11" s="1"/>
  <c r="Y60" i="11"/>
  <c r="Y190" i="11" s="1"/>
  <c r="Y49" i="11"/>
  <c r="Y179" i="11" s="1"/>
  <c r="Y44" i="11"/>
  <c r="Y174" i="11" s="1"/>
  <c r="Y41" i="11"/>
  <c r="Y171" i="11" s="1"/>
  <c r="Y54" i="11"/>
  <c r="Y184" i="11" s="1"/>
  <c r="Y93" i="11"/>
  <c r="Y223" i="11" s="1"/>
  <c r="Y101" i="11"/>
  <c r="Y231" i="11" s="1"/>
  <c r="Y90" i="11"/>
  <c r="Y220" i="11" s="1"/>
  <c r="Y86" i="11"/>
  <c r="Y216" i="11" s="1"/>
  <c r="Y98" i="11"/>
  <c r="Y228" i="11" s="1"/>
  <c r="Y83" i="11"/>
  <c r="Y213" i="11" s="1"/>
  <c r="Y95" i="11"/>
  <c r="Y225" i="11" s="1"/>
  <c r="Y103" i="11"/>
  <c r="Y233" i="11" s="1"/>
  <c r="Y88" i="11"/>
  <c r="Y218" i="11" s="1"/>
  <c r="Y100" i="11"/>
  <c r="Y230" i="11" s="1"/>
  <c r="Y92" i="11"/>
  <c r="Y222" i="11" s="1"/>
  <c r="Y85" i="11"/>
  <c r="Y215" i="11" s="1"/>
  <c r="Y82" i="11"/>
  <c r="Y212" i="11" s="1"/>
  <c r="Y97" i="11"/>
  <c r="Y227" i="11" s="1"/>
  <c r="Y94" i="11"/>
  <c r="Y224" i="11" s="1"/>
  <c r="Y102" i="11"/>
  <c r="Y232" i="11" s="1"/>
  <c r="Y87" i="11"/>
  <c r="Y217" i="11" s="1"/>
  <c r="Y84" i="11"/>
  <c r="Y214" i="11" s="1"/>
  <c r="Y96" i="11"/>
  <c r="Y226" i="11" s="1"/>
  <c r="Y99" i="11"/>
  <c r="Y229" i="11" s="1"/>
  <c r="I64" i="11"/>
  <c r="J33" i="11"/>
  <c r="K22" i="11"/>
  <c r="AB59" i="11" s="1"/>
  <c r="J54" i="11"/>
  <c r="K32" i="11"/>
  <c r="J63" i="11"/>
  <c r="Y120" i="11"/>
  <c r="Y250" i="11" s="1"/>
  <c r="Y116" i="11"/>
  <c r="Y246" i="11" s="1"/>
  <c r="Y111" i="11"/>
  <c r="Y241" i="11" s="1"/>
  <c r="Y107" i="11"/>
  <c r="Y237" i="11" s="1"/>
  <c r="Y123" i="11"/>
  <c r="Y253" i="11" s="1"/>
  <c r="Y114" i="11"/>
  <c r="Y244" i="11" s="1"/>
  <c r="Y118" i="11"/>
  <c r="Y248" i="11" s="1"/>
  <c r="Y121" i="11"/>
  <c r="Y251" i="11" s="1"/>
  <c r="Y115" i="11"/>
  <c r="Y245" i="11" s="1"/>
  <c r="Y112" i="11"/>
  <c r="Y242" i="11" s="1"/>
  <c r="Y106" i="11"/>
  <c r="Y236" i="11" s="1"/>
  <c r="Y124" i="11"/>
  <c r="Y254" i="11" s="1"/>
  <c r="Y110" i="11"/>
  <c r="Y240" i="11" s="1"/>
  <c r="Y105" i="11"/>
  <c r="Y235" i="11" s="1"/>
  <c r="Y122" i="11"/>
  <c r="Y252" i="11" s="1"/>
  <c r="Y119" i="11"/>
  <c r="Y249" i="11" s="1"/>
  <c r="Y104" i="11"/>
  <c r="Y234" i="11" s="1"/>
  <c r="Y113" i="11"/>
  <c r="Y243" i="11" s="1"/>
  <c r="Y108" i="11"/>
  <c r="Y238" i="11" s="1"/>
  <c r="Z75" i="11"/>
  <c r="Z205" i="11" s="1"/>
  <c r="Z67" i="11"/>
  <c r="Z197" i="11" s="1"/>
  <c r="Z70" i="11"/>
  <c r="Z200" i="11" s="1"/>
  <c r="Z64" i="11"/>
  <c r="Z194" i="11" s="1"/>
  <c r="Z77" i="11"/>
  <c r="Z207" i="11" s="1"/>
  <c r="Z73" i="11"/>
  <c r="Z203" i="11" s="1"/>
  <c r="Z76" i="11"/>
  <c r="Z206" i="11" s="1"/>
  <c r="Z66" i="11"/>
  <c r="Z196" i="11" s="1"/>
  <c r="Z79" i="11"/>
  <c r="Z209" i="11" s="1"/>
  <c r="Z71" i="11"/>
  <c r="Z201" i="11" s="1"/>
  <c r="Z63" i="11"/>
  <c r="Z193" i="11" s="1"/>
  <c r="Z62" i="11"/>
  <c r="Z192" i="11" s="1"/>
  <c r="Z74" i="11"/>
  <c r="Z204" i="11" s="1"/>
  <c r="Z68" i="11"/>
  <c r="Z198" i="11" s="1"/>
  <c r="Z65" i="11"/>
  <c r="Z195" i="11" s="1"/>
  <c r="Z81" i="11"/>
  <c r="Z211" i="11" s="1"/>
  <c r="Z78" i="11"/>
  <c r="Z208" i="11" s="1"/>
  <c r="Z72" i="11"/>
  <c r="Z202" i="11" s="1"/>
  <c r="J31" i="11"/>
  <c r="I62" i="11"/>
  <c r="J23" i="11"/>
  <c r="AA69" i="11" s="1"/>
  <c r="I55" i="11"/>
  <c r="J34" i="11"/>
  <c r="I65" i="11"/>
  <c r="J28" i="11"/>
  <c r="AA117" i="11" s="1"/>
  <c r="I60" i="11"/>
  <c r="J24" i="11"/>
  <c r="AA80" i="11" s="1"/>
  <c r="I56" i="11"/>
  <c r="J30" i="11"/>
  <c r="I61" i="11"/>
  <c r="J27" i="11"/>
  <c r="AA109" i="11" s="1"/>
  <c r="I59" i="11"/>
  <c r="I53" i="11"/>
  <c r="J21" i="11"/>
  <c r="AA17" i="11" s="1"/>
  <c r="AC130" i="11"/>
  <c r="G5" i="3"/>
  <c r="J5" i="3" s="1"/>
  <c r="AA6" i="11" l="1"/>
  <c r="J35" i="11"/>
  <c r="E12" i="3"/>
  <c r="H12" i="3" s="1"/>
  <c r="AA247" i="11"/>
  <c r="Y135" i="11"/>
  <c r="Z189" i="11"/>
  <c r="Z219" i="11"/>
  <c r="Z199" i="11"/>
  <c r="Z147" i="11"/>
  <c r="Z210" i="11"/>
  <c r="Z221" i="11"/>
  <c r="Z239" i="11"/>
  <c r="Z136" i="11"/>
  <c r="J59" i="11"/>
  <c r="K27" i="11"/>
  <c r="AB109" i="11" s="1"/>
  <c r="K34" i="11"/>
  <c r="J65" i="11"/>
  <c r="Z120" i="11"/>
  <c r="Z250" i="11" s="1"/>
  <c r="Z111" i="11"/>
  <c r="Z241" i="11" s="1"/>
  <c r="Z105" i="11"/>
  <c r="Z235" i="11" s="1"/>
  <c r="Z123" i="11"/>
  <c r="Z253" i="11" s="1"/>
  <c r="Z114" i="11"/>
  <c r="Z244" i="11" s="1"/>
  <c r="Z118" i="11"/>
  <c r="Z248" i="11" s="1"/>
  <c r="Z116" i="11"/>
  <c r="Z246" i="11" s="1"/>
  <c r="Z107" i="11"/>
  <c r="Z237" i="11" s="1"/>
  <c r="Z121" i="11"/>
  <c r="Z251" i="11" s="1"/>
  <c r="Z112" i="11"/>
  <c r="Z242" i="11" s="1"/>
  <c r="Z124" i="11"/>
  <c r="Z254" i="11" s="1"/>
  <c r="Z119" i="11"/>
  <c r="Z249" i="11" s="1"/>
  <c r="Z115" i="11"/>
  <c r="Z245" i="11" s="1"/>
  <c r="Z110" i="11"/>
  <c r="Z240" i="11" s="1"/>
  <c r="Z106" i="11"/>
  <c r="Z236" i="11" s="1"/>
  <c r="Z122" i="11"/>
  <c r="Z252" i="11" s="1"/>
  <c r="Z104" i="11"/>
  <c r="Z234" i="11" s="1"/>
  <c r="Z113" i="11"/>
  <c r="Z243" i="11" s="1"/>
  <c r="Z108" i="11"/>
  <c r="Z238" i="11" s="1"/>
  <c r="J61" i="11"/>
  <c r="K30" i="11"/>
  <c r="K23" i="11"/>
  <c r="AB69" i="11" s="1"/>
  <c r="J55" i="11"/>
  <c r="AA78" i="11"/>
  <c r="AA70" i="11"/>
  <c r="AA73" i="11"/>
  <c r="AA67" i="11"/>
  <c r="AA76" i="11"/>
  <c r="AA64" i="11"/>
  <c r="AA77" i="11"/>
  <c r="AA71" i="11"/>
  <c r="AA62" i="11"/>
  <c r="AA74" i="11"/>
  <c r="AA66" i="11"/>
  <c r="AA79" i="11"/>
  <c r="AA63" i="11"/>
  <c r="AA81" i="11"/>
  <c r="AA65" i="11"/>
  <c r="AA72" i="11"/>
  <c r="AA75" i="11"/>
  <c r="AA68" i="11"/>
  <c r="K25" i="11"/>
  <c r="AB89" i="11" s="1"/>
  <c r="J57" i="11"/>
  <c r="Z96" i="11"/>
  <c r="Z226" i="11" s="1"/>
  <c r="Z93" i="11"/>
  <c r="Z223" i="11" s="1"/>
  <c r="Z101" i="11"/>
  <c r="Z231" i="11" s="1"/>
  <c r="Z86" i="11"/>
  <c r="Z216" i="11" s="1"/>
  <c r="Z98" i="11"/>
  <c r="Z228" i="11" s="1"/>
  <c r="Z92" i="11"/>
  <c r="Z222" i="11" s="1"/>
  <c r="Z83" i="11"/>
  <c r="Z213" i="11" s="1"/>
  <c r="Z82" i="11"/>
  <c r="Z212" i="11" s="1"/>
  <c r="Z95" i="11"/>
  <c r="Z225" i="11" s="1"/>
  <c r="Z103" i="11"/>
  <c r="Z233" i="11" s="1"/>
  <c r="Z88" i="11"/>
  <c r="Z218" i="11" s="1"/>
  <c r="Z100" i="11"/>
  <c r="Z230" i="11" s="1"/>
  <c r="Z85" i="11"/>
  <c r="Z215" i="11" s="1"/>
  <c r="Z97" i="11"/>
  <c r="Z227" i="11" s="1"/>
  <c r="Z94" i="11"/>
  <c r="Z224" i="11" s="1"/>
  <c r="Z84" i="11"/>
  <c r="Z214" i="11" s="1"/>
  <c r="Z102" i="11"/>
  <c r="Z232" i="11" s="1"/>
  <c r="Z99" i="11"/>
  <c r="Z229" i="11" s="1"/>
  <c r="Z90" i="11"/>
  <c r="Z220" i="11" s="1"/>
  <c r="Z87" i="11"/>
  <c r="Z217" i="11" s="1"/>
  <c r="Z33" i="11"/>
  <c r="Z163" i="11" s="1"/>
  <c r="Z25" i="11"/>
  <c r="Z155" i="11" s="1"/>
  <c r="Z10" i="11"/>
  <c r="Z140" i="11" s="1"/>
  <c r="Z28" i="11"/>
  <c r="Z158" i="11" s="1"/>
  <c r="Z20" i="11"/>
  <c r="Z150" i="11" s="1"/>
  <c r="Z15" i="11"/>
  <c r="Z145" i="11" s="1"/>
  <c r="Z31" i="11"/>
  <c r="Z161" i="11" s="1"/>
  <c r="Z23" i="11"/>
  <c r="Z153" i="11" s="1"/>
  <c r="Z12" i="11"/>
  <c r="Z142" i="11" s="1"/>
  <c r="Z34" i="11"/>
  <c r="Z164" i="11" s="1"/>
  <c r="Z26" i="11"/>
  <c r="Z156" i="11" s="1"/>
  <c r="Z18" i="11"/>
  <c r="Z148" i="11" s="1"/>
  <c r="Z9" i="11"/>
  <c r="Z139" i="11" s="1"/>
  <c r="Z29" i="11"/>
  <c r="Z159" i="11" s="1"/>
  <c r="Z21" i="11"/>
  <c r="Z151" i="11" s="1"/>
  <c r="Z14" i="11"/>
  <c r="Z144" i="11" s="1"/>
  <c r="Z32" i="11"/>
  <c r="Z162" i="11" s="1"/>
  <c r="Z24" i="11"/>
  <c r="Z154" i="11" s="1"/>
  <c r="Z11" i="11"/>
  <c r="Z141" i="11" s="1"/>
  <c r="Z7" i="11"/>
  <c r="Z137" i="11" s="1"/>
  <c r="Z27" i="11"/>
  <c r="Z157" i="11" s="1"/>
  <c r="Z19" i="11"/>
  <c r="Z149" i="11" s="1"/>
  <c r="Z13" i="11"/>
  <c r="Z143" i="11" s="1"/>
  <c r="Z35" i="11"/>
  <c r="Z165" i="11" s="1"/>
  <c r="Z16" i="11"/>
  <c r="Z146" i="11" s="1"/>
  <c r="Z22" i="11"/>
  <c r="Z152" i="11" s="1"/>
  <c r="Z30" i="11"/>
  <c r="Z160" i="11" s="1"/>
  <c r="Z8" i="11"/>
  <c r="Z138" i="11" s="1"/>
  <c r="Z54" i="11"/>
  <c r="Z184" i="11" s="1"/>
  <c r="Z41" i="11"/>
  <c r="Z171" i="11" s="1"/>
  <c r="Z49" i="11"/>
  <c r="Z179" i="11" s="1"/>
  <c r="Z61" i="11"/>
  <c r="Z191" i="11" s="1"/>
  <c r="Z51" i="11"/>
  <c r="Z181" i="11" s="1"/>
  <c r="Z38" i="11"/>
  <c r="Z168" i="11" s="1"/>
  <c r="Z46" i="11"/>
  <c r="Z176" i="11" s="1"/>
  <c r="Z36" i="11"/>
  <c r="Z166" i="11" s="1"/>
  <c r="Z56" i="11"/>
  <c r="Z186" i="11" s="1"/>
  <c r="Z43" i="11"/>
  <c r="Z173" i="11" s="1"/>
  <c r="Z53" i="11"/>
  <c r="Z183" i="11" s="1"/>
  <c r="Z40" i="11"/>
  <c r="Z170" i="11" s="1"/>
  <c r="Z48" i="11"/>
  <c r="Z178" i="11" s="1"/>
  <c r="Z58" i="11"/>
  <c r="Z188" i="11" s="1"/>
  <c r="Z45" i="11"/>
  <c r="Z175" i="11" s="1"/>
  <c r="Z37" i="11"/>
  <c r="Z167" i="11" s="1"/>
  <c r="Z55" i="11"/>
  <c r="Z185" i="11" s="1"/>
  <c r="Z42" i="11"/>
  <c r="Z172" i="11" s="1"/>
  <c r="Z50" i="11"/>
  <c r="Z180" i="11" s="1"/>
  <c r="Z60" i="11"/>
  <c r="Z190" i="11" s="1"/>
  <c r="Z57" i="11"/>
  <c r="Z187" i="11" s="1"/>
  <c r="Z52" i="11"/>
  <c r="Z182" i="11" s="1"/>
  <c r="Z44" i="11"/>
  <c r="Z174" i="11" s="1"/>
  <c r="Z47" i="11"/>
  <c r="Z177" i="11" s="1"/>
  <c r="Z39" i="11"/>
  <c r="Z169" i="11" s="1"/>
  <c r="L32" i="11"/>
  <c r="K63" i="11"/>
  <c r="K26" i="11"/>
  <c r="AB91" i="11" s="1"/>
  <c r="J58" i="11"/>
  <c r="J56" i="11"/>
  <c r="K24" i="11"/>
  <c r="AB80" i="11" s="1"/>
  <c r="K31" i="11"/>
  <c r="J62" i="11"/>
  <c r="K21" i="11"/>
  <c r="AB17" i="11" s="1"/>
  <c r="J53" i="11"/>
  <c r="L22" i="11"/>
  <c r="M22" i="11" s="1"/>
  <c r="K54" i="11"/>
  <c r="K28" i="11"/>
  <c r="AB117" i="11" s="1"/>
  <c r="J60" i="11"/>
  <c r="K33" i="11"/>
  <c r="J64" i="11"/>
  <c r="K20" i="11"/>
  <c r="J52" i="11"/>
  <c r="J75" i="11" s="1"/>
  <c r="M54" i="11" l="1"/>
  <c r="AD59" i="11"/>
  <c r="L63" i="11"/>
  <c r="M32" i="11"/>
  <c r="M63" i="11" s="1"/>
  <c r="P12" i="3"/>
  <c r="AB6" i="11"/>
  <c r="K35" i="11"/>
  <c r="F12" i="3"/>
  <c r="I12" i="3" s="1"/>
  <c r="AB247" i="11"/>
  <c r="L54" i="11"/>
  <c r="AC59" i="11"/>
  <c r="K12" i="3"/>
  <c r="E107" i="3"/>
  <c r="H107" i="3" s="1"/>
  <c r="AA207" i="11"/>
  <c r="E20" i="3"/>
  <c r="H20" i="3" s="1"/>
  <c r="AA193" i="11"/>
  <c r="E102" i="3"/>
  <c r="H102" i="3" s="1"/>
  <c r="AA206" i="11"/>
  <c r="Z135" i="11"/>
  <c r="AA199" i="11"/>
  <c r="E11" i="3"/>
  <c r="H11" i="3" s="1"/>
  <c r="E41" i="3"/>
  <c r="H41" i="3" s="1"/>
  <c r="AA195" i="11"/>
  <c r="E120" i="3"/>
  <c r="H120" i="3" s="1"/>
  <c r="AA211" i="11"/>
  <c r="AA210" i="11"/>
  <c r="E14" i="3"/>
  <c r="H14" i="3" s="1"/>
  <c r="E114" i="3"/>
  <c r="H114" i="3" s="1"/>
  <c r="AA209" i="11"/>
  <c r="E46" i="3"/>
  <c r="H46" i="3" s="1"/>
  <c r="AA197" i="11"/>
  <c r="E42" i="3"/>
  <c r="H42" i="3" s="1"/>
  <c r="AA196" i="11"/>
  <c r="E88" i="3"/>
  <c r="H88" i="3" s="1"/>
  <c r="AA203" i="11"/>
  <c r="E10" i="3"/>
  <c r="H10" i="3" s="1"/>
  <c r="AA219" i="11"/>
  <c r="E64" i="3"/>
  <c r="H64" i="3" s="1"/>
  <c r="AA198" i="11"/>
  <c r="E93" i="3"/>
  <c r="H93" i="3" s="1"/>
  <c r="AA204" i="11"/>
  <c r="E77" i="3"/>
  <c r="H77" i="3" s="1"/>
  <c r="AA200" i="11"/>
  <c r="E7" i="3"/>
  <c r="H7" i="3" s="1"/>
  <c r="AA239" i="11"/>
  <c r="J76" i="11"/>
  <c r="E127" i="3" s="1"/>
  <c r="H127" i="3" s="1"/>
  <c r="K127" i="3" s="1"/>
  <c r="E126" i="3"/>
  <c r="J77" i="11"/>
  <c r="E128" i="3" s="1"/>
  <c r="H128" i="3" s="1"/>
  <c r="K128" i="3" s="1"/>
  <c r="J78" i="11"/>
  <c r="E129" i="3" s="1"/>
  <c r="H129" i="3" s="1"/>
  <c r="K129" i="3" s="1"/>
  <c r="E9" i="3"/>
  <c r="H9" i="3" s="1"/>
  <c r="AA147" i="11"/>
  <c r="E32" i="3"/>
  <c r="H32" i="3" s="1"/>
  <c r="AA194" i="11"/>
  <c r="E95" i="3"/>
  <c r="H95" i="3" s="1"/>
  <c r="AA205" i="11"/>
  <c r="E17" i="3"/>
  <c r="H17" i="3" s="1"/>
  <c r="AA192" i="11"/>
  <c r="E111" i="3"/>
  <c r="H111" i="3" s="1"/>
  <c r="AA208" i="11"/>
  <c r="E13" i="3"/>
  <c r="AA189" i="11"/>
  <c r="E85" i="3"/>
  <c r="H85" i="3" s="1"/>
  <c r="AA202" i="11"/>
  <c r="E80" i="3"/>
  <c r="H80" i="3" s="1"/>
  <c r="AA201" i="11"/>
  <c r="E8" i="3"/>
  <c r="H8" i="3" s="1"/>
  <c r="AA221" i="11"/>
  <c r="E6" i="3"/>
  <c r="H6" i="3" s="1"/>
  <c r="AA136" i="11"/>
  <c r="L24" i="11"/>
  <c r="M24" i="11" s="1"/>
  <c r="K56" i="11"/>
  <c r="L25" i="11"/>
  <c r="M25" i="11" s="1"/>
  <c r="K57" i="11"/>
  <c r="L28" i="11"/>
  <c r="M28" i="11" s="1"/>
  <c r="K60" i="11"/>
  <c r="L31" i="11"/>
  <c r="K62" i="11"/>
  <c r="AA123" i="11"/>
  <c r="AA114" i="11"/>
  <c r="AA108" i="11"/>
  <c r="AA118" i="11"/>
  <c r="AA105" i="11"/>
  <c r="AA121" i="11"/>
  <c r="AA112" i="11"/>
  <c r="AA124" i="11"/>
  <c r="AA116" i="11"/>
  <c r="AA107" i="11"/>
  <c r="AA119" i="11"/>
  <c r="AA110" i="11"/>
  <c r="AA122" i="11"/>
  <c r="AA113" i="11"/>
  <c r="AA104" i="11"/>
  <c r="AA115" i="11"/>
  <c r="AA106" i="11"/>
  <c r="AA111" i="11"/>
  <c r="AA120" i="11"/>
  <c r="L33" i="11"/>
  <c r="K64" i="11"/>
  <c r="L26" i="11"/>
  <c r="M26" i="11" s="1"/>
  <c r="K58" i="11"/>
  <c r="L34" i="11"/>
  <c r="K65" i="11"/>
  <c r="AA28" i="11"/>
  <c r="AA20" i="11"/>
  <c r="AA13" i="11"/>
  <c r="AA31" i="11"/>
  <c r="AA23" i="11"/>
  <c r="AA10" i="11"/>
  <c r="AA34" i="11"/>
  <c r="AA26" i="11"/>
  <c r="AA18" i="11"/>
  <c r="AA15" i="11"/>
  <c r="AA29" i="11"/>
  <c r="AA21" i="11"/>
  <c r="AA12" i="11"/>
  <c r="AA32" i="11"/>
  <c r="AA24" i="11"/>
  <c r="AA9" i="11"/>
  <c r="AA7" i="11"/>
  <c r="AA35" i="11"/>
  <c r="AA27" i="11"/>
  <c r="AA19" i="11"/>
  <c r="AA14" i="11"/>
  <c r="AA11" i="11"/>
  <c r="AA33" i="11"/>
  <c r="AA25" i="11"/>
  <c r="AA22" i="11"/>
  <c r="AA16" i="11"/>
  <c r="AA30" i="11"/>
  <c r="AA8" i="11"/>
  <c r="L23" i="11"/>
  <c r="M23" i="11" s="1"/>
  <c r="K55" i="11"/>
  <c r="K59" i="11"/>
  <c r="L27" i="11"/>
  <c r="M27" i="11" s="1"/>
  <c r="AA99" i="11"/>
  <c r="AA84" i="11"/>
  <c r="AA96" i="11"/>
  <c r="AA92" i="11"/>
  <c r="AA82" i="11"/>
  <c r="AA93" i="11"/>
  <c r="AA101" i="11"/>
  <c r="AA86" i="11"/>
  <c r="AA98" i="11"/>
  <c r="AA83" i="11"/>
  <c r="AA95" i="11"/>
  <c r="AA103" i="11"/>
  <c r="AA88" i="11"/>
  <c r="AA100" i="11"/>
  <c r="AA85" i="11"/>
  <c r="AA94" i="11"/>
  <c r="AA102" i="11"/>
  <c r="AA90" i="11"/>
  <c r="AA87" i="11"/>
  <c r="AA97" i="11"/>
  <c r="AA61" i="11"/>
  <c r="AA57" i="11"/>
  <c r="AA44" i="11"/>
  <c r="AA36" i="11"/>
  <c r="AA54" i="11"/>
  <c r="AA41" i="11"/>
  <c r="AA49" i="11"/>
  <c r="AA51" i="11"/>
  <c r="AA38" i="11"/>
  <c r="AA46" i="11"/>
  <c r="AA56" i="11"/>
  <c r="AA43" i="11"/>
  <c r="AA37" i="11"/>
  <c r="AA53" i="11"/>
  <c r="AA40" i="11"/>
  <c r="AA48" i="11"/>
  <c r="AA60" i="11"/>
  <c r="AA58" i="11"/>
  <c r="AA45" i="11"/>
  <c r="AA42" i="11"/>
  <c r="AA50" i="11"/>
  <c r="AA52" i="11"/>
  <c r="AA55" i="11"/>
  <c r="AA47" i="11"/>
  <c r="AA39" i="11"/>
  <c r="L20" i="11"/>
  <c r="K52" i="11"/>
  <c r="L21" i="11"/>
  <c r="M21" i="11" s="1"/>
  <c r="K53" i="11"/>
  <c r="L30" i="11"/>
  <c r="K61" i="11"/>
  <c r="M57" i="11" l="1"/>
  <c r="AD89" i="11"/>
  <c r="M53" i="11"/>
  <c r="AD17" i="11"/>
  <c r="M59" i="11"/>
  <c r="AD109" i="11"/>
  <c r="M56" i="11"/>
  <c r="AD80" i="11"/>
  <c r="M55" i="11"/>
  <c r="AD69" i="11"/>
  <c r="M58" i="11"/>
  <c r="AD91" i="11"/>
  <c r="M60" i="11"/>
  <c r="AD117" i="11"/>
  <c r="L64" i="11"/>
  <c r="M33" i="11"/>
  <c r="M64" i="11" s="1"/>
  <c r="L62" i="11"/>
  <c r="M31" i="11"/>
  <c r="M62" i="11" s="1"/>
  <c r="L61" i="11"/>
  <c r="AC7" i="11" s="1"/>
  <c r="M30" i="11"/>
  <c r="M61" i="11" s="1"/>
  <c r="L65" i="11"/>
  <c r="M34" i="11"/>
  <c r="M65" i="11" s="1"/>
  <c r="AC6" i="11"/>
  <c r="M20" i="11"/>
  <c r="K6" i="3"/>
  <c r="S12" i="3"/>
  <c r="V12" i="3" s="1"/>
  <c r="H126" i="3"/>
  <c r="P126" i="3" s="1"/>
  <c r="E130" i="3"/>
  <c r="K42" i="3"/>
  <c r="K10" i="3"/>
  <c r="K9" i="3"/>
  <c r="K7" i="3"/>
  <c r="H13" i="3"/>
  <c r="J79" i="11"/>
  <c r="L35" i="11"/>
  <c r="E124" i="3"/>
  <c r="H124" i="3" s="1"/>
  <c r="AA254" i="11"/>
  <c r="L55" i="11"/>
  <c r="AC69" i="11"/>
  <c r="L58" i="11"/>
  <c r="AC91" i="11"/>
  <c r="L60" i="11"/>
  <c r="AC117" i="11"/>
  <c r="L57" i="11"/>
  <c r="AC89" i="11"/>
  <c r="L59" i="11"/>
  <c r="AC109" i="11"/>
  <c r="L56" i="11"/>
  <c r="AC80" i="11"/>
  <c r="L53" i="11"/>
  <c r="AC17" i="11"/>
  <c r="L12" i="3"/>
  <c r="Q12" i="3"/>
  <c r="L52" i="11"/>
  <c r="L76" i="11" s="1"/>
  <c r="G127" i="3" s="1"/>
  <c r="J127" i="3" s="1"/>
  <c r="M127" i="3" s="1"/>
  <c r="P129" i="3"/>
  <c r="P128" i="3"/>
  <c r="P127" i="3"/>
  <c r="K80" i="3"/>
  <c r="P80" i="3"/>
  <c r="P9" i="3"/>
  <c r="K114" i="3"/>
  <c r="P114" i="3"/>
  <c r="K17" i="3"/>
  <c r="P17" i="3"/>
  <c r="K77" i="3"/>
  <c r="P77" i="3"/>
  <c r="K14" i="3"/>
  <c r="P14" i="3"/>
  <c r="K11" i="3"/>
  <c r="P11" i="3"/>
  <c r="K107" i="3"/>
  <c r="P107" i="3"/>
  <c r="K85" i="3"/>
  <c r="P85" i="3"/>
  <c r="K88" i="3"/>
  <c r="P88" i="3"/>
  <c r="P6" i="3"/>
  <c r="K95" i="3"/>
  <c r="P95" i="3"/>
  <c r="K93" i="3"/>
  <c r="P93" i="3"/>
  <c r="K32" i="3"/>
  <c r="P32" i="3"/>
  <c r="K64" i="3"/>
  <c r="P64" i="3"/>
  <c r="K120" i="3"/>
  <c r="P120" i="3"/>
  <c r="K102" i="3"/>
  <c r="P102" i="3"/>
  <c r="K8" i="3"/>
  <c r="P8" i="3"/>
  <c r="K46" i="3"/>
  <c r="P46" i="3"/>
  <c r="K111" i="3"/>
  <c r="P111" i="3"/>
  <c r="P7" i="3"/>
  <c r="K41" i="3"/>
  <c r="P41" i="3"/>
  <c r="K20" i="3"/>
  <c r="P20" i="3"/>
  <c r="E69" i="3"/>
  <c r="H69" i="3" s="1"/>
  <c r="AA177" i="11"/>
  <c r="E86" i="3"/>
  <c r="H86" i="3" s="1"/>
  <c r="AA227" i="11"/>
  <c r="E27" i="3"/>
  <c r="H27" i="3" s="1"/>
  <c r="AA140" i="11"/>
  <c r="E48" i="3"/>
  <c r="H48" i="3" s="1"/>
  <c r="AA217" i="11"/>
  <c r="E49" i="3"/>
  <c r="H49" i="3" s="1"/>
  <c r="AA144" i="11"/>
  <c r="F14" i="3"/>
  <c r="I14" i="3" s="1"/>
  <c r="AB210" i="11"/>
  <c r="E84" i="3"/>
  <c r="H84" i="3" s="1"/>
  <c r="AA182" i="11"/>
  <c r="E89" i="3"/>
  <c r="H89" i="3" s="1"/>
  <c r="AA183" i="11"/>
  <c r="E35" i="3"/>
  <c r="H35" i="3" s="1"/>
  <c r="AA171" i="11"/>
  <c r="E55" i="3"/>
  <c r="H55" i="3" s="1"/>
  <c r="AA220" i="11"/>
  <c r="E18" i="3"/>
  <c r="H18" i="3" s="1"/>
  <c r="AA213" i="11"/>
  <c r="E24" i="3"/>
  <c r="H24" i="3" s="1"/>
  <c r="AA214" i="11"/>
  <c r="E25" i="3"/>
  <c r="H25" i="3" s="1"/>
  <c r="AA138" i="11"/>
  <c r="E62" i="3"/>
  <c r="H62" i="3" s="1"/>
  <c r="AA149" i="11"/>
  <c r="E66" i="3"/>
  <c r="H66" i="3" s="1"/>
  <c r="AA151" i="11"/>
  <c r="E103" i="3"/>
  <c r="H103" i="3" s="1"/>
  <c r="AA161" i="11"/>
  <c r="E122" i="3"/>
  <c r="H122" i="3" s="1"/>
  <c r="AA252" i="11"/>
  <c r="E28" i="3"/>
  <c r="H28" i="3" s="1"/>
  <c r="AA235" i="11"/>
  <c r="E78" i="3"/>
  <c r="H78" i="3" s="1"/>
  <c r="AA181" i="11"/>
  <c r="E56" i="3"/>
  <c r="H56" i="3" s="1"/>
  <c r="AA222" i="11"/>
  <c r="E34" i="3"/>
  <c r="H34" i="3" s="1"/>
  <c r="AA141" i="11"/>
  <c r="E15" i="3"/>
  <c r="H15" i="3" s="1"/>
  <c r="AA234" i="11"/>
  <c r="E79" i="3"/>
  <c r="H79" i="3" s="1"/>
  <c r="AA225" i="11"/>
  <c r="E74" i="3"/>
  <c r="H74" i="3" s="1"/>
  <c r="AA180" i="11"/>
  <c r="E22" i="3"/>
  <c r="H22" i="3" s="1"/>
  <c r="AA167" i="11"/>
  <c r="E90" i="3"/>
  <c r="H90" i="3" s="1"/>
  <c r="AA184" i="11"/>
  <c r="E119" i="3"/>
  <c r="H119" i="3" s="1"/>
  <c r="AA232" i="11"/>
  <c r="E97" i="3"/>
  <c r="H97" i="3" s="1"/>
  <c r="AA228" i="11"/>
  <c r="E100" i="3"/>
  <c r="H100" i="3" s="1"/>
  <c r="AA229" i="11"/>
  <c r="E101" i="3"/>
  <c r="H101" i="3" s="1"/>
  <c r="AA160" i="11"/>
  <c r="E82" i="3"/>
  <c r="H82" i="3" s="1"/>
  <c r="AA157" i="11"/>
  <c r="E99" i="3"/>
  <c r="H99" i="3" s="1"/>
  <c r="AA159" i="11"/>
  <c r="E45" i="3"/>
  <c r="H45" i="3" s="1"/>
  <c r="AA143" i="11"/>
  <c r="E39" i="3"/>
  <c r="H39" i="3" s="1"/>
  <c r="AA240" i="11"/>
  <c r="E91" i="3"/>
  <c r="H91" i="3" s="1"/>
  <c r="AA248" i="11"/>
  <c r="F8" i="3"/>
  <c r="I8" i="3" s="1"/>
  <c r="AB221" i="11"/>
  <c r="F13" i="3"/>
  <c r="I13" i="3" s="1"/>
  <c r="AB189" i="11"/>
  <c r="E43" i="3"/>
  <c r="H43" i="3" s="1"/>
  <c r="AA142" i="11"/>
  <c r="E36" i="3"/>
  <c r="H36" i="3" s="1"/>
  <c r="AA172" i="11"/>
  <c r="E44" i="3"/>
  <c r="H44" i="3" s="1"/>
  <c r="AA173" i="11"/>
  <c r="E21" i="3"/>
  <c r="H21" i="3" s="1"/>
  <c r="AA166" i="11"/>
  <c r="E63" i="3"/>
  <c r="H63" i="3" s="1"/>
  <c r="AA224" i="11"/>
  <c r="E40" i="3"/>
  <c r="H40" i="3" s="1"/>
  <c r="AA216" i="11"/>
  <c r="E54" i="3"/>
  <c r="H54" i="3" s="1"/>
  <c r="AA146" i="11"/>
  <c r="E113" i="3"/>
  <c r="H113" i="3" s="1"/>
  <c r="AA165" i="11"/>
  <c r="E51" i="3"/>
  <c r="H51" i="3" s="1"/>
  <c r="AA145" i="11"/>
  <c r="E65" i="3"/>
  <c r="H65" i="3" s="1"/>
  <c r="AA150" i="11"/>
  <c r="E96" i="3"/>
  <c r="H96" i="3" s="1"/>
  <c r="AA250" i="11"/>
  <c r="E92" i="3"/>
  <c r="H92" i="3" s="1"/>
  <c r="AA249" i="11"/>
  <c r="E38" i="3"/>
  <c r="H38" i="3" s="1"/>
  <c r="AA238" i="11"/>
  <c r="AB239" i="11"/>
  <c r="F7" i="3"/>
  <c r="I7" i="3" s="1"/>
  <c r="F10" i="3"/>
  <c r="I10" i="3" s="1"/>
  <c r="AB219" i="11"/>
  <c r="E104" i="3"/>
  <c r="H104" i="3" s="1"/>
  <c r="AA162" i="11"/>
  <c r="E73" i="3"/>
  <c r="H73" i="3" s="1"/>
  <c r="AA179" i="11"/>
  <c r="E117" i="3"/>
  <c r="H117" i="3" s="1"/>
  <c r="AA251" i="11"/>
  <c r="K75" i="11"/>
  <c r="K76" i="11"/>
  <c r="F127" i="3" s="1"/>
  <c r="I127" i="3" s="1"/>
  <c r="L127" i="3" s="1"/>
  <c r="K77" i="11"/>
  <c r="F128" i="3" s="1"/>
  <c r="I128" i="3" s="1"/>
  <c r="L128" i="3" s="1"/>
  <c r="K78" i="11"/>
  <c r="F129" i="3" s="1"/>
  <c r="I129" i="3" s="1"/>
  <c r="L129" i="3" s="1"/>
  <c r="E53" i="3"/>
  <c r="H53" i="3" s="1"/>
  <c r="AA175" i="11"/>
  <c r="E108" i="3"/>
  <c r="H108" i="3" s="1"/>
  <c r="AA186" i="11"/>
  <c r="E47" i="3"/>
  <c r="H47" i="3" s="1"/>
  <c r="AA174" i="11"/>
  <c r="E30" i="3"/>
  <c r="H30" i="3" s="1"/>
  <c r="AA215" i="11"/>
  <c r="E112" i="3"/>
  <c r="H112" i="3" s="1"/>
  <c r="AA231" i="11"/>
  <c r="E67" i="3"/>
  <c r="H67" i="3" s="1"/>
  <c r="AA152" i="11"/>
  <c r="E19" i="3"/>
  <c r="H19" i="3" s="1"/>
  <c r="AA137" i="11"/>
  <c r="E57" i="3"/>
  <c r="H57" i="3" s="1"/>
  <c r="AA148" i="11"/>
  <c r="E94" i="3"/>
  <c r="H94" i="3" s="1"/>
  <c r="AA158" i="11"/>
  <c r="E50" i="3"/>
  <c r="H50" i="3" s="1"/>
  <c r="AA241" i="11"/>
  <c r="E37" i="3"/>
  <c r="H37" i="3" s="1"/>
  <c r="AA237" i="11"/>
  <c r="E70" i="3"/>
  <c r="H70" i="3" s="1"/>
  <c r="AA244" i="11"/>
  <c r="F9" i="3"/>
  <c r="I9" i="3" s="1"/>
  <c r="AB147" i="11"/>
  <c r="E71" i="3"/>
  <c r="H71" i="3" s="1"/>
  <c r="AA178" i="11"/>
  <c r="E58" i="3"/>
  <c r="H58" i="3" s="1"/>
  <c r="AA242" i="11"/>
  <c r="E33" i="3"/>
  <c r="H33" i="3" s="1"/>
  <c r="AA170" i="11"/>
  <c r="E61" i="3"/>
  <c r="H61" i="3" s="1"/>
  <c r="AA243" i="11"/>
  <c r="E115" i="3"/>
  <c r="H115" i="3" s="1"/>
  <c r="AA188" i="11"/>
  <c r="E59" i="3"/>
  <c r="H59" i="3" s="1"/>
  <c r="AA176" i="11"/>
  <c r="E110" i="3"/>
  <c r="H110" i="3" s="1"/>
  <c r="AA187" i="11"/>
  <c r="E106" i="3"/>
  <c r="H106" i="3" s="1"/>
  <c r="AA230" i="11"/>
  <c r="E60" i="3"/>
  <c r="H60" i="3" s="1"/>
  <c r="AA223" i="11"/>
  <c r="E76" i="3"/>
  <c r="H76" i="3" s="1"/>
  <c r="AA155" i="11"/>
  <c r="E26" i="3"/>
  <c r="H26" i="3" s="1"/>
  <c r="AA139" i="11"/>
  <c r="E81" i="3"/>
  <c r="H81" i="3" s="1"/>
  <c r="AA156" i="11"/>
  <c r="E29" i="3"/>
  <c r="H29" i="3" s="1"/>
  <c r="AA236" i="11"/>
  <c r="E87" i="3"/>
  <c r="H87" i="3" s="1"/>
  <c r="AA246" i="11"/>
  <c r="E123" i="3"/>
  <c r="H123" i="3" s="1"/>
  <c r="AA253" i="11"/>
  <c r="F11" i="3"/>
  <c r="I11" i="3" s="1"/>
  <c r="AB199" i="11"/>
  <c r="E121" i="3"/>
  <c r="H121" i="3" s="1"/>
  <c r="AA233" i="11"/>
  <c r="E98" i="3"/>
  <c r="H98" i="3" s="1"/>
  <c r="AA185" i="11"/>
  <c r="E83" i="3"/>
  <c r="H83" i="3" s="1"/>
  <c r="AA226" i="11"/>
  <c r="E68" i="3"/>
  <c r="H68" i="3" s="1"/>
  <c r="AA153" i="11"/>
  <c r="E31" i="3"/>
  <c r="H31" i="3" s="1"/>
  <c r="AA169" i="11"/>
  <c r="E116" i="3"/>
  <c r="H116" i="3" s="1"/>
  <c r="AA190" i="11"/>
  <c r="E23" i="3"/>
  <c r="H23" i="3" s="1"/>
  <c r="AA168" i="11"/>
  <c r="E118" i="3"/>
  <c r="H118" i="3" s="1"/>
  <c r="AA191" i="11"/>
  <c r="E52" i="3"/>
  <c r="H52" i="3" s="1"/>
  <c r="AA218" i="11"/>
  <c r="E16" i="3"/>
  <c r="H16" i="3" s="1"/>
  <c r="AA212" i="11"/>
  <c r="E105" i="3"/>
  <c r="H105" i="3" s="1"/>
  <c r="AA163" i="11"/>
  <c r="E75" i="3"/>
  <c r="H75" i="3" s="1"/>
  <c r="AA154" i="11"/>
  <c r="E109" i="3"/>
  <c r="H109" i="3" s="1"/>
  <c r="AA164" i="11"/>
  <c r="E72" i="3"/>
  <c r="H72" i="3" s="1"/>
  <c r="AA245" i="11"/>
  <c r="F6" i="3"/>
  <c r="I6" i="3" s="1"/>
  <c r="AB136" i="11"/>
  <c r="AB35" i="11"/>
  <c r="AD7" i="11" l="1"/>
  <c r="AD31" i="11"/>
  <c r="AD27" i="11"/>
  <c r="AD19" i="11"/>
  <c r="AD14" i="11"/>
  <c r="AD35" i="11"/>
  <c r="AD26" i="11"/>
  <c r="AD18" i="11"/>
  <c r="AD15" i="11"/>
  <c r="AD20" i="11"/>
  <c r="AD34" i="11"/>
  <c r="AD25" i="11"/>
  <c r="AD8" i="11"/>
  <c r="AD16" i="11"/>
  <c r="AD28" i="11"/>
  <c r="AD33" i="11"/>
  <c r="AD24" i="11"/>
  <c r="AD9" i="11"/>
  <c r="AD12" i="11"/>
  <c r="AD13" i="11"/>
  <c r="AD32" i="11"/>
  <c r="AD23" i="11"/>
  <c r="AD10" i="11"/>
  <c r="AD21" i="11"/>
  <c r="AD30" i="11"/>
  <c r="AD22" i="11"/>
  <c r="AD11" i="11"/>
  <c r="AD29" i="11"/>
  <c r="L77" i="11"/>
  <c r="G128" i="3" s="1"/>
  <c r="J128" i="3" s="1"/>
  <c r="M128" i="3" s="1"/>
  <c r="M52" i="11"/>
  <c r="M35" i="11"/>
  <c r="AD6" i="11"/>
  <c r="S7" i="3"/>
  <c r="V7" i="3" s="1"/>
  <c r="S41" i="3"/>
  <c r="V41" i="3" s="1"/>
  <c r="S85" i="3"/>
  <c r="V85" i="3" s="1"/>
  <c r="S77" i="3"/>
  <c r="V77" i="3" s="1"/>
  <c r="S102" i="3"/>
  <c r="V102" i="3" s="1"/>
  <c r="S93" i="3"/>
  <c r="V93" i="3" s="1"/>
  <c r="S107" i="3"/>
  <c r="S17" i="3"/>
  <c r="V17" i="3" s="1"/>
  <c r="S111" i="3"/>
  <c r="V111" i="3" s="1"/>
  <c r="S120" i="3"/>
  <c r="V120" i="3" s="1"/>
  <c r="S95" i="3"/>
  <c r="V95" i="3" s="1"/>
  <c r="K126" i="3"/>
  <c r="K130" i="3" s="1"/>
  <c r="H130" i="3"/>
  <c r="L13" i="3"/>
  <c r="S11" i="3"/>
  <c r="V11" i="3" s="1"/>
  <c r="S114" i="3"/>
  <c r="V114" i="3" s="1"/>
  <c r="AC136" i="11"/>
  <c r="S46" i="3"/>
  <c r="V46" i="3" s="1"/>
  <c r="S64" i="3"/>
  <c r="L10" i="3"/>
  <c r="S20" i="3"/>
  <c r="S88" i="3"/>
  <c r="V88" i="3" s="1"/>
  <c r="S14" i="3"/>
  <c r="V14" i="3" s="1"/>
  <c r="S9" i="3"/>
  <c r="V9" i="3" s="1"/>
  <c r="Q7" i="3"/>
  <c r="AA135" i="11"/>
  <c r="S8" i="3"/>
  <c r="V8" i="3" s="1"/>
  <c r="S32" i="3"/>
  <c r="V32" i="3" s="1"/>
  <c r="S80" i="3"/>
  <c r="V80" i="3" s="1"/>
  <c r="T12" i="3"/>
  <c r="P130" i="3"/>
  <c r="K59" i="3"/>
  <c r="K94" i="3"/>
  <c r="K53" i="3"/>
  <c r="K15" i="3"/>
  <c r="K62" i="3"/>
  <c r="K23" i="3"/>
  <c r="K110" i="3"/>
  <c r="K33" i="3"/>
  <c r="K92" i="3"/>
  <c r="K45" i="3"/>
  <c r="K22" i="3"/>
  <c r="K122" i="3"/>
  <c r="K69" i="3"/>
  <c r="K16" i="3"/>
  <c r="K96" i="3"/>
  <c r="K99" i="3"/>
  <c r="K103" i="3"/>
  <c r="K89" i="3"/>
  <c r="K48" i="3"/>
  <c r="K19" i="3"/>
  <c r="K74" i="3"/>
  <c r="K31" i="3"/>
  <c r="K29" i="3"/>
  <c r="K115" i="3"/>
  <c r="K98" i="3"/>
  <c r="K65" i="3"/>
  <c r="K36" i="3"/>
  <c r="K82" i="3"/>
  <c r="K78" i="3"/>
  <c r="K18" i="3"/>
  <c r="K84" i="3"/>
  <c r="K27" i="3"/>
  <c r="S6" i="3"/>
  <c r="V6" i="3" s="1"/>
  <c r="K13" i="3"/>
  <c r="K108" i="3"/>
  <c r="K118" i="3"/>
  <c r="K68" i="3"/>
  <c r="K106" i="3"/>
  <c r="K61" i="3"/>
  <c r="K73" i="3"/>
  <c r="K90" i="3"/>
  <c r="K28" i="3"/>
  <c r="K55" i="3"/>
  <c r="K124" i="3"/>
  <c r="P124" i="3"/>
  <c r="L75" i="11"/>
  <c r="F126" i="3"/>
  <c r="K79" i="11"/>
  <c r="L78" i="11"/>
  <c r="G129" i="3" s="1"/>
  <c r="J129" i="3" s="1"/>
  <c r="W12" i="3"/>
  <c r="G12" i="3"/>
  <c r="J12" i="3" s="1"/>
  <c r="AC247" i="11"/>
  <c r="Q127" i="3"/>
  <c r="Q128" i="3"/>
  <c r="R128" i="3"/>
  <c r="Q129" i="3"/>
  <c r="R127" i="3"/>
  <c r="V107" i="3"/>
  <c r="V64" i="3"/>
  <c r="V20" i="3"/>
  <c r="K109" i="3"/>
  <c r="P109" i="3"/>
  <c r="K121" i="3"/>
  <c r="P121" i="3"/>
  <c r="K50" i="3"/>
  <c r="P50" i="3"/>
  <c r="K67" i="3"/>
  <c r="P67" i="3"/>
  <c r="K30" i="3"/>
  <c r="P30" i="3"/>
  <c r="K21" i="3"/>
  <c r="P21" i="3"/>
  <c r="K91" i="3"/>
  <c r="P91" i="3"/>
  <c r="K100" i="3"/>
  <c r="P100" i="3"/>
  <c r="K24" i="3"/>
  <c r="P24" i="3"/>
  <c r="K87" i="3"/>
  <c r="P87" i="3"/>
  <c r="K76" i="3"/>
  <c r="P76" i="3"/>
  <c r="L9" i="3"/>
  <c r="Q9" i="3"/>
  <c r="L14" i="3"/>
  <c r="Q14" i="3"/>
  <c r="K75" i="3"/>
  <c r="P75" i="3"/>
  <c r="K116" i="3"/>
  <c r="P116" i="3"/>
  <c r="K47" i="3"/>
  <c r="P47" i="3"/>
  <c r="K104" i="3"/>
  <c r="P104" i="3"/>
  <c r="K38" i="3"/>
  <c r="P38" i="3"/>
  <c r="K51" i="3"/>
  <c r="P51" i="3"/>
  <c r="K44" i="3"/>
  <c r="P44" i="3"/>
  <c r="K43" i="3"/>
  <c r="P43" i="3"/>
  <c r="K39" i="3"/>
  <c r="P39" i="3"/>
  <c r="K101" i="3"/>
  <c r="P101" i="3"/>
  <c r="K97" i="3"/>
  <c r="P97" i="3"/>
  <c r="K34" i="3"/>
  <c r="P34" i="3"/>
  <c r="K25" i="3"/>
  <c r="P25" i="3"/>
  <c r="K58" i="3"/>
  <c r="P58" i="3"/>
  <c r="K49" i="3"/>
  <c r="P49" i="3"/>
  <c r="L6" i="3"/>
  <c r="Q6" i="3"/>
  <c r="K105" i="3"/>
  <c r="P105" i="3"/>
  <c r="K52" i="3"/>
  <c r="P52" i="3"/>
  <c r="K83" i="3"/>
  <c r="P83" i="3"/>
  <c r="K70" i="3"/>
  <c r="P70" i="3"/>
  <c r="K57" i="3"/>
  <c r="P57" i="3"/>
  <c r="K113" i="3"/>
  <c r="P113" i="3"/>
  <c r="K40" i="3"/>
  <c r="P40" i="3"/>
  <c r="K119" i="3"/>
  <c r="P119" i="3"/>
  <c r="K79" i="3"/>
  <c r="P79" i="3"/>
  <c r="K56" i="3"/>
  <c r="P56" i="3"/>
  <c r="L11" i="3"/>
  <c r="Q11" i="3"/>
  <c r="K81" i="3"/>
  <c r="P81" i="3"/>
  <c r="L8" i="3"/>
  <c r="Q8" i="3"/>
  <c r="K86" i="3"/>
  <c r="P86" i="3"/>
  <c r="K72" i="3"/>
  <c r="P72" i="3"/>
  <c r="K37" i="3"/>
  <c r="P37" i="3"/>
  <c r="K112" i="3"/>
  <c r="P112" i="3"/>
  <c r="K117" i="3"/>
  <c r="P117" i="3"/>
  <c r="L7" i="3"/>
  <c r="K54" i="3"/>
  <c r="P54" i="3"/>
  <c r="K63" i="3"/>
  <c r="P63" i="3"/>
  <c r="K66" i="3"/>
  <c r="P66" i="3"/>
  <c r="K35" i="3"/>
  <c r="P35" i="3"/>
  <c r="K123" i="3"/>
  <c r="P123" i="3"/>
  <c r="K26" i="3"/>
  <c r="P26" i="3"/>
  <c r="K60" i="3"/>
  <c r="P60" i="3"/>
  <c r="K71" i="3"/>
  <c r="P71" i="3"/>
  <c r="F113" i="3"/>
  <c r="I113" i="3" s="1"/>
  <c r="AB165" i="11"/>
  <c r="AC189" i="11"/>
  <c r="G13" i="3"/>
  <c r="J13" i="3" s="1"/>
  <c r="G11" i="3"/>
  <c r="J11" i="3" s="1"/>
  <c r="AC199" i="11"/>
  <c r="G10" i="3"/>
  <c r="J10" i="3" s="1"/>
  <c r="AC219" i="11"/>
  <c r="AC147" i="11"/>
  <c r="G9" i="3"/>
  <c r="J9" i="3" s="1"/>
  <c r="AC221" i="11"/>
  <c r="G8" i="3"/>
  <c r="J8" i="3" s="1"/>
  <c r="AC239" i="11"/>
  <c r="G7" i="3"/>
  <c r="J7" i="3" s="1"/>
  <c r="G14" i="3"/>
  <c r="J14" i="3" s="1"/>
  <c r="AC210" i="11"/>
  <c r="G6" i="3"/>
  <c r="J6" i="3" s="1"/>
  <c r="M78" i="11" l="1"/>
  <c r="M77" i="11"/>
  <c r="M76" i="11"/>
  <c r="M75" i="11"/>
  <c r="S63" i="3"/>
  <c r="V63" i="3" s="1"/>
  <c r="M10" i="3"/>
  <c r="T7" i="3"/>
  <c r="W7" i="3" s="1"/>
  <c r="S72" i="3"/>
  <c r="V72" i="3" s="1"/>
  <c r="T11" i="3"/>
  <c r="S40" i="3"/>
  <c r="V40" i="3" s="1"/>
  <c r="S83" i="3"/>
  <c r="V83" i="3" s="1"/>
  <c r="S24" i="3"/>
  <c r="V24" i="3" s="1"/>
  <c r="S30" i="3"/>
  <c r="V30" i="3" s="1"/>
  <c r="S109" i="3"/>
  <c r="V109" i="3" s="1"/>
  <c r="S38" i="3"/>
  <c r="V38" i="3" s="1"/>
  <c r="S87" i="3"/>
  <c r="V87" i="3" s="1"/>
  <c r="S43" i="3"/>
  <c r="V43" i="3" s="1"/>
  <c r="S104" i="3"/>
  <c r="T14" i="3"/>
  <c r="W14" i="3" s="1"/>
  <c r="R7" i="3"/>
  <c r="S71" i="3"/>
  <c r="V71" i="3" s="1"/>
  <c r="S35" i="3"/>
  <c r="V35" i="3" s="1"/>
  <c r="S49" i="3"/>
  <c r="V49" i="3" s="1"/>
  <c r="S97" i="3"/>
  <c r="V97" i="3" s="1"/>
  <c r="S44" i="3"/>
  <c r="V44" i="3" s="1"/>
  <c r="S47" i="3"/>
  <c r="V47" i="3" s="1"/>
  <c r="T9" i="3"/>
  <c r="W9" i="3" s="1"/>
  <c r="S124" i="3"/>
  <c r="V124" i="3" s="1"/>
  <c r="S75" i="3"/>
  <c r="V75" i="3" s="1"/>
  <c r="S54" i="3"/>
  <c r="V54" i="3" s="1"/>
  <c r="S117" i="3"/>
  <c r="V117" i="3" s="1"/>
  <c r="S56" i="3"/>
  <c r="V56" i="3" s="1"/>
  <c r="S52" i="3"/>
  <c r="V52" i="3" s="1"/>
  <c r="S100" i="3"/>
  <c r="V100" i="3" s="1"/>
  <c r="S67" i="3"/>
  <c r="V67" i="3" s="1"/>
  <c r="S26" i="3"/>
  <c r="V26" i="3" s="1"/>
  <c r="S39" i="3"/>
  <c r="V39" i="3" s="1"/>
  <c r="S123" i="3"/>
  <c r="V123" i="3" s="1"/>
  <c r="S34" i="3"/>
  <c r="V34" i="3" s="1"/>
  <c r="S86" i="3"/>
  <c r="V86" i="3" s="1"/>
  <c r="S113" i="3"/>
  <c r="V113" i="3" s="1"/>
  <c r="M13" i="3"/>
  <c r="S60" i="3"/>
  <c r="V60" i="3" s="1"/>
  <c r="S66" i="3"/>
  <c r="S58" i="3"/>
  <c r="V58" i="3" s="1"/>
  <c r="S101" i="3"/>
  <c r="V101" i="3" s="1"/>
  <c r="S51" i="3"/>
  <c r="S116" i="3"/>
  <c r="V116" i="3" s="1"/>
  <c r="S76" i="3"/>
  <c r="V76" i="3" s="1"/>
  <c r="S112" i="3"/>
  <c r="V112" i="3" s="1"/>
  <c r="T8" i="3"/>
  <c r="S79" i="3"/>
  <c r="V79" i="3" s="1"/>
  <c r="S57" i="3"/>
  <c r="V57" i="3" s="1"/>
  <c r="S105" i="3"/>
  <c r="V105" i="3" s="1"/>
  <c r="S91" i="3"/>
  <c r="V91" i="3" s="1"/>
  <c r="S50" i="3"/>
  <c r="V50" i="3" s="1"/>
  <c r="R129" i="3"/>
  <c r="M129" i="3"/>
  <c r="S25" i="3"/>
  <c r="V25" i="3" s="1"/>
  <c r="S37" i="3"/>
  <c r="V37" i="3" s="1"/>
  <c r="S81" i="3"/>
  <c r="V81" i="3" s="1"/>
  <c r="S119" i="3"/>
  <c r="V119" i="3" s="1"/>
  <c r="S70" i="3"/>
  <c r="V70" i="3" s="1"/>
  <c r="S21" i="3"/>
  <c r="S121" i="3"/>
  <c r="V121" i="3" s="1"/>
  <c r="I126" i="3"/>
  <c r="F130" i="3"/>
  <c r="T6" i="3"/>
  <c r="W6" i="3" s="1"/>
  <c r="G126" i="3"/>
  <c r="L79" i="11"/>
  <c r="R12" i="3"/>
  <c r="M12" i="3"/>
  <c r="W11" i="3"/>
  <c r="V104" i="3"/>
  <c r="V66" i="3"/>
  <c r="V21" i="3"/>
  <c r="V51" i="3"/>
  <c r="W8" i="3"/>
  <c r="M11" i="3"/>
  <c r="R11" i="3"/>
  <c r="L113" i="3"/>
  <c r="Q113" i="3"/>
  <c r="M8" i="3"/>
  <c r="R8" i="3"/>
  <c r="M6" i="3"/>
  <c r="R6" i="3"/>
  <c r="M7" i="3"/>
  <c r="M14" i="3"/>
  <c r="R14" i="3"/>
  <c r="M9" i="3"/>
  <c r="R9" i="3"/>
  <c r="R5" i="9"/>
  <c r="D6" i="3" s="1"/>
  <c r="Q6" i="9"/>
  <c r="C7" i="3" s="1"/>
  <c r="R6" i="9"/>
  <c r="D7" i="3" s="1"/>
  <c r="S6" i="9"/>
  <c r="T6" i="9"/>
  <c r="U6" i="9"/>
  <c r="V6" i="9"/>
  <c r="W6" i="9"/>
  <c r="X6" i="9"/>
  <c r="Q7" i="9"/>
  <c r="C8" i="3" s="1"/>
  <c r="R7" i="9"/>
  <c r="D8" i="3" s="1"/>
  <c r="S7" i="9"/>
  <c r="T7" i="9"/>
  <c r="U7" i="9"/>
  <c r="V7" i="9"/>
  <c r="W7" i="9"/>
  <c r="X7" i="9"/>
  <c r="Q8" i="9"/>
  <c r="C9" i="3" s="1"/>
  <c r="R8" i="9"/>
  <c r="D9" i="3" s="1"/>
  <c r="S8" i="9"/>
  <c r="T8" i="9"/>
  <c r="U8" i="9"/>
  <c r="V8" i="9"/>
  <c r="W8" i="9"/>
  <c r="X8" i="9"/>
  <c r="Q9" i="9"/>
  <c r="C10" i="3" s="1"/>
  <c r="R9" i="9"/>
  <c r="D10" i="3" s="1"/>
  <c r="S9" i="9"/>
  <c r="T9" i="9"/>
  <c r="U9" i="9"/>
  <c r="V9" i="9"/>
  <c r="W9" i="9"/>
  <c r="X9" i="9"/>
  <c r="Q10" i="9"/>
  <c r="C11" i="3" s="1"/>
  <c r="R10" i="9"/>
  <c r="D11" i="3" s="1"/>
  <c r="S10" i="9"/>
  <c r="T10" i="9"/>
  <c r="U10" i="9"/>
  <c r="V10" i="9"/>
  <c r="W10" i="9"/>
  <c r="X10" i="9"/>
  <c r="Q11" i="9"/>
  <c r="C12" i="3" s="1"/>
  <c r="R11" i="9"/>
  <c r="D12" i="3" s="1"/>
  <c r="S11" i="9"/>
  <c r="T11" i="9"/>
  <c r="U11" i="9"/>
  <c r="V11" i="9"/>
  <c r="W11" i="9"/>
  <c r="X11" i="9"/>
  <c r="Q12" i="9"/>
  <c r="C13" i="3" s="1"/>
  <c r="R12" i="9"/>
  <c r="D13" i="3" s="1"/>
  <c r="S12" i="9"/>
  <c r="T12" i="9"/>
  <c r="U12" i="9"/>
  <c r="V12" i="9"/>
  <c r="W12" i="9"/>
  <c r="X12" i="9"/>
  <c r="Q13" i="9"/>
  <c r="C14" i="3" s="1"/>
  <c r="R13" i="9"/>
  <c r="D14" i="3" s="1"/>
  <c r="S13" i="9"/>
  <c r="T13" i="9"/>
  <c r="U13" i="9"/>
  <c r="V13" i="9"/>
  <c r="W13" i="9"/>
  <c r="X13" i="9"/>
  <c r="Q14" i="9"/>
  <c r="R14" i="9"/>
  <c r="S14" i="9"/>
  <c r="T14" i="9"/>
  <c r="U14" i="9"/>
  <c r="V14" i="9"/>
  <c r="W14" i="9"/>
  <c r="X14" i="9"/>
  <c r="Q15" i="9"/>
  <c r="R15" i="9"/>
  <c r="S15" i="9"/>
  <c r="T15" i="9"/>
  <c r="U15" i="9"/>
  <c r="V15" i="9"/>
  <c r="W15" i="9"/>
  <c r="X15" i="9"/>
  <c r="Q16" i="9"/>
  <c r="R16" i="9"/>
  <c r="S16" i="9"/>
  <c r="T16" i="9"/>
  <c r="U16" i="9"/>
  <c r="V16" i="9"/>
  <c r="W16" i="9"/>
  <c r="X16" i="9"/>
  <c r="Q17" i="9"/>
  <c r="R17" i="9"/>
  <c r="S17" i="9"/>
  <c r="T17" i="9"/>
  <c r="U17" i="9"/>
  <c r="V17" i="9"/>
  <c r="W17" i="9"/>
  <c r="X17" i="9"/>
  <c r="Q18" i="9"/>
  <c r="R18" i="9"/>
  <c r="S18" i="9"/>
  <c r="T18" i="9"/>
  <c r="U18" i="9"/>
  <c r="V18" i="9"/>
  <c r="W18" i="9"/>
  <c r="X18" i="9"/>
  <c r="Q19" i="9"/>
  <c r="R19" i="9"/>
  <c r="S19" i="9"/>
  <c r="T19" i="9"/>
  <c r="U19" i="9"/>
  <c r="V19" i="9"/>
  <c r="W19" i="9"/>
  <c r="X19" i="9"/>
  <c r="Q20" i="9"/>
  <c r="R20" i="9"/>
  <c r="S20" i="9"/>
  <c r="T20" i="9"/>
  <c r="U20" i="9"/>
  <c r="V20" i="9"/>
  <c r="W20" i="9"/>
  <c r="X20" i="9"/>
  <c r="Q21" i="9"/>
  <c r="R21" i="9"/>
  <c r="S21" i="9"/>
  <c r="T21" i="9"/>
  <c r="U21" i="9"/>
  <c r="V21" i="9"/>
  <c r="W21" i="9"/>
  <c r="X21" i="9"/>
  <c r="Q22" i="9"/>
  <c r="R22" i="9"/>
  <c r="S22" i="9"/>
  <c r="T22" i="9"/>
  <c r="U22" i="9"/>
  <c r="V22" i="9"/>
  <c r="W22" i="9"/>
  <c r="X22" i="9"/>
  <c r="Q23" i="9"/>
  <c r="R23" i="9"/>
  <c r="S23" i="9"/>
  <c r="T23" i="9"/>
  <c r="U23" i="9"/>
  <c r="V23" i="9"/>
  <c r="W23" i="9"/>
  <c r="X23" i="9"/>
  <c r="Q24" i="9"/>
  <c r="R24" i="9"/>
  <c r="S24" i="9"/>
  <c r="T24" i="9"/>
  <c r="U24" i="9"/>
  <c r="V24" i="9"/>
  <c r="W24" i="9"/>
  <c r="X24" i="9"/>
  <c r="Q25" i="9"/>
  <c r="R25" i="9"/>
  <c r="S25" i="9"/>
  <c r="T25" i="9"/>
  <c r="U25" i="9"/>
  <c r="V25" i="9"/>
  <c r="W25" i="9"/>
  <c r="X25" i="9"/>
  <c r="Q26" i="9"/>
  <c r="R26" i="9"/>
  <c r="S26" i="9"/>
  <c r="T26" i="9"/>
  <c r="U26" i="9"/>
  <c r="V26" i="9"/>
  <c r="W26" i="9"/>
  <c r="X26" i="9"/>
  <c r="Q27" i="9"/>
  <c r="R27" i="9"/>
  <c r="S27" i="9"/>
  <c r="T27" i="9"/>
  <c r="U27" i="9"/>
  <c r="V27" i="9"/>
  <c r="W27" i="9"/>
  <c r="X27" i="9"/>
  <c r="Q28" i="9"/>
  <c r="R28" i="9"/>
  <c r="S28" i="9"/>
  <c r="T28" i="9"/>
  <c r="U28" i="9"/>
  <c r="V28" i="9"/>
  <c r="W28" i="9"/>
  <c r="X28" i="9"/>
  <c r="Q29" i="9"/>
  <c r="R29" i="9"/>
  <c r="S29" i="9"/>
  <c r="T29" i="9"/>
  <c r="U29" i="9"/>
  <c r="V29" i="9"/>
  <c r="W29" i="9"/>
  <c r="X29" i="9"/>
  <c r="Q30" i="9"/>
  <c r="R30" i="9"/>
  <c r="S30" i="9"/>
  <c r="T30" i="9"/>
  <c r="U30" i="9"/>
  <c r="V30" i="9"/>
  <c r="W30" i="9"/>
  <c r="X30" i="9"/>
  <c r="Q31" i="9"/>
  <c r="R31" i="9"/>
  <c r="S31" i="9"/>
  <c r="T31" i="9"/>
  <c r="U31" i="9"/>
  <c r="V31" i="9"/>
  <c r="W31" i="9"/>
  <c r="X31" i="9"/>
  <c r="Q32" i="9"/>
  <c r="R32" i="9"/>
  <c r="S32" i="9"/>
  <c r="T32" i="9"/>
  <c r="U32" i="9"/>
  <c r="V32" i="9"/>
  <c r="W32" i="9"/>
  <c r="X32" i="9"/>
  <c r="Q33" i="9"/>
  <c r="R33" i="9"/>
  <c r="S33" i="9"/>
  <c r="T33" i="9"/>
  <c r="U33" i="9"/>
  <c r="V33" i="9"/>
  <c r="W33" i="9"/>
  <c r="X33" i="9"/>
  <c r="Q34" i="9"/>
  <c r="R34" i="9"/>
  <c r="S34" i="9"/>
  <c r="T34" i="9"/>
  <c r="U34" i="9"/>
  <c r="V34" i="9"/>
  <c r="W34" i="9"/>
  <c r="X34" i="9"/>
  <c r="Q35" i="9"/>
  <c r="R35" i="9"/>
  <c r="S35" i="9"/>
  <c r="T35" i="9"/>
  <c r="U35" i="9"/>
  <c r="V35" i="9"/>
  <c r="W35" i="9"/>
  <c r="X35" i="9"/>
  <c r="Q36" i="9"/>
  <c r="R36" i="9"/>
  <c r="S36" i="9"/>
  <c r="T36" i="9"/>
  <c r="U36" i="9"/>
  <c r="V36" i="9"/>
  <c r="W36" i="9"/>
  <c r="X36" i="9"/>
  <c r="Q37" i="9"/>
  <c r="R37" i="9"/>
  <c r="S37" i="9"/>
  <c r="T37" i="9"/>
  <c r="U37" i="9"/>
  <c r="V37" i="9"/>
  <c r="W37" i="9"/>
  <c r="X37" i="9"/>
  <c r="Q38" i="9"/>
  <c r="R38" i="9"/>
  <c r="S38" i="9"/>
  <c r="T38" i="9"/>
  <c r="U38" i="9"/>
  <c r="V38" i="9"/>
  <c r="W38" i="9"/>
  <c r="X38" i="9"/>
  <c r="Q39" i="9"/>
  <c r="R39" i="9"/>
  <c r="S39" i="9"/>
  <c r="T39" i="9"/>
  <c r="U39" i="9"/>
  <c r="V39" i="9"/>
  <c r="W39" i="9"/>
  <c r="X39" i="9"/>
  <c r="Q40" i="9"/>
  <c r="R40" i="9"/>
  <c r="S40" i="9"/>
  <c r="T40" i="9"/>
  <c r="U40" i="9"/>
  <c r="V40" i="9"/>
  <c r="W40" i="9"/>
  <c r="X40" i="9"/>
  <c r="Q41" i="9"/>
  <c r="R41" i="9"/>
  <c r="S41" i="9"/>
  <c r="T41" i="9"/>
  <c r="U41" i="9"/>
  <c r="V41" i="9"/>
  <c r="W41" i="9"/>
  <c r="X41" i="9"/>
  <c r="Q42" i="9"/>
  <c r="R42" i="9"/>
  <c r="S42" i="9"/>
  <c r="T42" i="9"/>
  <c r="U42" i="9"/>
  <c r="V42" i="9"/>
  <c r="W42" i="9"/>
  <c r="X42" i="9"/>
  <c r="Q43" i="9"/>
  <c r="R43" i="9"/>
  <c r="S43" i="9"/>
  <c r="T43" i="9"/>
  <c r="U43" i="9"/>
  <c r="V43" i="9"/>
  <c r="W43" i="9"/>
  <c r="X43" i="9"/>
  <c r="Q44" i="9"/>
  <c r="R44" i="9"/>
  <c r="S44" i="9"/>
  <c r="T44" i="9"/>
  <c r="U44" i="9"/>
  <c r="V44" i="9"/>
  <c r="W44" i="9"/>
  <c r="X44" i="9"/>
  <c r="Q45" i="9"/>
  <c r="R45" i="9"/>
  <c r="S45" i="9"/>
  <c r="T45" i="9"/>
  <c r="U45" i="9"/>
  <c r="V45" i="9"/>
  <c r="W45" i="9"/>
  <c r="X45" i="9"/>
  <c r="Q46" i="9"/>
  <c r="R46" i="9"/>
  <c r="S46" i="9"/>
  <c r="T46" i="9"/>
  <c r="U46" i="9"/>
  <c r="V46" i="9"/>
  <c r="W46" i="9"/>
  <c r="X46" i="9"/>
  <c r="Q47" i="9"/>
  <c r="R47" i="9"/>
  <c r="S47" i="9"/>
  <c r="T47" i="9"/>
  <c r="U47" i="9"/>
  <c r="V47" i="9"/>
  <c r="W47" i="9"/>
  <c r="X47" i="9"/>
  <c r="Q48" i="9"/>
  <c r="R48" i="9"/>
  <c r="S48" i="9"/>
  <c r="T48" i="9"/>
  <c r="U48" i="9"/>
  <c r="V48" i="9"/>
  <c r="W48" i="9"/>
  <c r="X48" i="9"/>
  <c r="Q49" i="9"/>
  <c r="R49" i="9"/>
  <c r="S49" i="9"/>
  <c r="T49" i="9"/>
  <c r="U49" i="9"/>
  <c r="V49" i="9"/>
  <c r="W49" i="9"/>
  <c r="X49" i="9"/>
  <c r="Q50" i="9"/>
  <c r="R50" i="9"/>
  <c r="S50" i="9"/>
  <c r="T50" i="9"/>
  <c r="U50" i="9"/>
  <c r="V50" i="9"/>
  <c r="W50" i="9"/>
  <c r="X50" i="9"/>
  <c r="Q51" i="9"/>
  <c r="R51" i="9"/>
  <c r="S51" i="9"/>
  <c r="T51" i="9"/>
  <c r="U51" i="9"/>
  <c r="V51" i="9"/>
  <c r="W51" i="9"/>
  <c r="X51" i="9"/>
  <c r="Q52" i="9"/>
  <c r="R52" i="9"/>
  <c r="S52" i="9"/>
  <c r="T52" i="9"/>
  <c r="U52" i="9"/>
  <c r="V52" i="9"/>
  <c r="W52" i="9"/>
  <c r="X52" i="9"/>
  <c r="Q53" i="9"/>
  <c r="R53" i="9"/>
  <c r="S53" i="9"/>
  <c r="T53" i="9"/>
  <c r="U53" i="9"/>
  <c r="V53" i="9"/>
  <c r="W53" i="9"/>
  <c r="X53" i="9"/>
  <c r="Q54" i="9"/>
  <c r="R54" i="9"/>
  <c r="S54" i="9"/>
  <c r="T54" i="9"/>
  <c r="U54" i="9"/>
  <c r="V54" i="9"/>
  <c r="W54" i="9"/>
  <c r="X54" i="9"/>
  <c r="Q55" i="9"/>
  <c r="R55" i="9"/>
  <c r="S55" i="9"/>
  <c r="T55" i="9"/>
  <c r="U55" i="9"/>
  <c r="V55" i="9"/>
  <c r="W55" i="9"/>
  <c r="X55" i="9"/>
  <c r="Q56" i="9"/>
  <c r="R56" i="9"/>
  <c r="S56" i="9"/>
  <c r="T56" i="9"/>
  <c r="U56" i="9"/>
  <c r="V56" i="9"/>
  <c r="W56" i="9"/>
  <c r="X56" i="9"/>
  <c r="Q57" i="9"/>
  <c r="R57" i="9"/>
  <c r="S57" i="9"/>
  <c r="T57" i="9"/>
  <c r="U57" i="9"/>
  <c r="V57" i="9"/>
  <c r="W57" i="9"/>
  <c r="X57" i="9"/>
  <c r="Q58" i="9"/>
  <c r="R58" i="9"/>
  <c r="S58" i="9"/>
  <c r="T58" i="9"/>
  <c r="U58" i="9"/>
  <c r="V58" i="9"/>
  <c r="W58" i="9"/>
  <c r="X58" i="9"/>
  <c r="Q59" i="9"/>
  <c r="R59" i="9"/>
  <c r="S59" i="9"/>
  <c r="T59" i="9"/>
  <c r="U59" i="9"/>
  <c r="V59" i="9"/>
  <c r="W59" i="9"/>
  <c r="X59" i="9"/>
  <c r="Q60" i="9"/>
  <c r="R60" i="9"/>
  <c r="S60" i="9"/>
  <c r="T60" i="9"/>
  <c r="U60" i="9"/>
  <c r="V60" i="9"/>
  <c r="W60" i="9"/>
  <c r="X60" i="9"/>
  <c r="Q61" i="9"/>
  <c r="R61" i="9"/>
  <c r="S61" i="9"/>
  <c r="T61" i="9"/>
  <c r="U61" i="9"/>
  <c r="V61" i="9"/>
  <c r="W61" i="9"/>
  <c r="X61" i="9"/>
  <c r="Q62" i="9"/>
  <c r="R62" i="9"/>
  <c r="S62" i="9"/>
  <c r="T62" i="9"/>
  <c r="U62" i="9"/>
  <c r="V62" i="9"/>
  <c r="W62" i="9"/>
  <c r="X62" i="9"/>
  <c r="Q63" i="9"/>
  <c r="R63" i="9"/>
  <c r="S63" i="9"/>
  <c r="T63" i="9"/>
  <c r="U63" i="9"/>
  <c r="V63" i="9"/>
  <c r="W63" i="9"/>
  <c r="X63" i="9"/>
  <c r="Q64" i="9"/>
  <c r="R64" i="9"/>
  <c r="S64" i="9"/>
  <c r="T64" i="9"/>
  <c r="U64" i="9"/>
  <c r="V64" i="9"/>
  <c r="W64" i="9"/>
  <c r="X64" i="9"/>
  <c r="Q65" i="9"/>
  <c r="R65" i="9"/>
  <c r="S65" i="9"/>
  <c r="T65" i="9"/>
  <c r="U65" i="9"/>
  <c r="V65" i="9"/>
  <c r="W65" i="9"/>
  <c r="X65" i="9"/>
  <c r="Q66" i="9"/>
  <c r="R66" i="9"/>
  <c r="S66" i="9"/>
  <c r="T66" i="9"/>
  <c r="U66" i="9"/>
  <c r="V66" i="9"/>
  <c r="W66" i="9"/>
  <c r="X66" i="9"/>
  <c r="Q67" i="9"/>
  <c r="R67" i="9"/>
  <c r="S67" i="9"/>
  <c r="T67" i="9"/>
  <c r="U67" i="9"/>
  <c r="V67" i="9"/>
  <c r="W67" i="9"/>
  <c r="X67" i="9"/>
  <c r="Q68" i="9"/>
  <c r="R68" i="9"/>
  <c r="S68" i="9"/>
  <c r="T68" i="9"/>
  <c r="U68" i="9"/>
  <c r="V68" i="9"/>
  <c r="W68" i="9"/>
  <c r="X68" i="9"/>
  <c r="Q69" i="9"/>
  <c r="R69" i="9"/>
  <c r="S69" i="9"/>
  <c r="T69" i="9"/>
  <c r="U69" i="9"/>
  <c r="V69" i="9"/>
  <c r="W69" i="9"/>
  <c r="X69" i="9"/>
  <c r="Q70" i="9"/>
  <c r="R70" i="9"/>
  <c r="S70" i="9"/>
  <c r="T70" i="9"/>
  <c r="U70" i="9"/>
  <c r="V70" i="9"/>
  <c r="W70" i="9"/>
  <c r="X70" i="9"/>
  <c r="Q71" i="9"/>
  <c r="R71" i="9"/>
  <c r="S71" i="9"/>
  <c r="T71" i="9"/>
  <c r="U71" i="9"/>
  <c r="V71" i="9"/>
  <c r="W71" i="9"/>
  <c r="X71" i="9"/>
  <c r="Q72" i="9"/>
  <c r="R72" i="9"/>
  <c r="S72" i="9"/>
  <c r="T72" i="9"/>
  <c r="U72" i="9"/>
  <c r="V72" i="9"/>
  <c r="W72" i="9"/>
  <c r="X72" i="9"/>
  <c r="Q73" i="9"/>
  <c r="R73" i="9"/>
  <c r="S73" i="9"/>
  <c r="T73" i="9"/>
  <c r="U73" i="9"/>
  <c r="V73" i="9"/>
  <c r="W73" i="9"/>
  <c r="X73" i="9"/>
  <c r="Q74" i="9"/>
  <c r="R74" i="9"/>
  <c r="S74" i="9"/>
  <c r="T74" i="9"/>
  <c r="U74" i="9"/>
  <c r="V74" i="9"/>
  <c r="W74" i="9"/>
  <c r="X74" i="9"/>
  <c r="Q75" i="9"/>
  <c r="R75" i="9"/>
  <c r="S75" i="9"/>
  <c r="T75" i="9"/>
  <c r="U75" i="9"/>
  <c r="V75" i="9"/>
  <c r="W75" i="9"/>
  <c r="X75" i="9"/>
  <c r="Q76" i="9"/>
  <c r="R76" i="9"/>
  <c r="S76" i="9"/>
  <c r="T76" i="9"/>
  <c r="U76" i="9"/>
  <c r="V76" i="9"/>
  <c r="W76" i="9"/>
  <c r="X76" i="9"/>
  <c r="Q77" i="9"/>
  <c r="R77" i="9"/>
  <c r="S77" i="9"/>
  <c r="T77" i="9"/>
  <c r="U77" i="9"/>
  <c r="V77" i="9"/>
  <c r="W77" i="9"/>
  <c r="X77" i="9"/>
  <c r="Q78" i="9"/>
  <c r="R78" i="9"/>
  <c r="S78" i="9"/>
  <c r="T78" i="9"/>
  <c r="U78" i="9"/>
  <c r="V78" i="9"/>
  <c r="W78" i="9"/>
  <c r="X78" i="9"/>
  <c r="Q79" i="9"/>
  <c r="R79" i="9"/>
  <c r="S79" i="9"/>
  <c r="T79" i="9"/>
  <c r="U79" i="9"/>
  <c r="V79" i="9"/>
  <c r="W79" i="9"/>
  <c r="X79" i="9"/>
  <c r="Q80" i="9"/>
  <c r="R80" i="9"/>
  <c r="S80" i="9"/>
  <c r="T80" i="9"/>
  <c r="U80" i="9"/>
  <c r="V80" i="9"/>
  <c r="W80" i="9"/>
  <c r="X80" i="9"/>
  <c r="Q81" i="9"/>
  <c r="R81" i="9"/>
  <c r="S81" i="9"/>
  <c r="T81" i="9"/>
  <c r="U81" i="9"/>
  <c r="V81" i="9"/>
  <c r="W81" i="9"/>
  <c r="X81" i="9"/>
  <c r="Q82" i="9"/>
  <c r="R82" i="9"/>
  <c r="S82" i="9"/>
  <c r="T82" i="9"/>
  <c r="U82" i="9"/>
  <c r="V82" i="9"/>
  <c r="W82" i="9"/>
  <c r="X82" i="9"/>
  <c r="Q83" i="9"/>
  <c r="R83" i="9"/>
  <c r="S83" i="9"/>
  <c r="T83" i="9"/>
  <c r="U83" i="9"/>
  <c r="V83" i="9"/>
  <c r="W83" i="9"/>
  <c r="X83" i="9"/>
  <c r="Q84" i="9"/>
  <c r="R84" i="9"/>
  <c r="S84" i="9"/>
  <c r="T84" i="9"/>
  <c r="U84" i="9"/>
  <c r="V84" i="9"/>
  <c r="W84" i="9"/>
  <c r="X84" i="9"/>
  <c r="Q85" i="9"/>
  <c r="R85" i="9"/>
  <c r="S85" i="9"/>
  <c r="T85" i="9"/>
  <c r="U85" i="9"/>
  <c r="V85" i="9"/>
  <c r="W85" i="9"/>
  <c r="X85" i="9"/>
  <c r="Q86" i="9"/>
  <c r="R86" i="9"/>
  <c r="S86" i="9"/>
  <c r="T86" i="9"/>
  <c r="U86" i="9"/>
  <c r="V86" i="9"/>
  <c r="W86" i="9"/>
  <c r="X86" i="9"/>
  <c r="Q87" i="9"/>
  <c r="R87" i="9"/>
  <c r="S87" i="9"/>
  <c r="T87" i="9"/>
  <c r="U87" i="9"/>
  <c r="V87" i="9"/>
  <c r="W87" i="9"/>
  <c r="X87" i="9"/>
  <c r="Q88" i="9"/>
  <c r="R88" i="9"/>
  <c r="S88" i="9"/>
  <c r="T88" i="9"/>
  <c r="U88" i="9"/>
  <c r="V88" i="9"/>
  <c r="W88" i="9"/>
  <c r="X88" i="9"/>
  <c r="Q89" i="9"/>
  <c r="R89" i="9"/>
  <c r="S89" i="9"/>
  <c r="T89" i="9"/>
  <c r="U89" i="9"/>
  <c r="V89" i="9"/>
  <c r="W89" i="9"/>
  <c r="X89" i="9"/>
  <c r="Q90" i="9"/>
  <c r="R90" i="9"/>
  <c r="S90" i="9"/>
  <c r="T90" i="9"/>
  <c r="U90" i="9"/>
  <c r="V90" i="9"/>
  <c r="W90" i="9"/>
  <c r="X90" i="9"/>
  <c r="Q91" i="9"/>
  <c r="R91" i="9"/>
  <c r="S91" i="9"/>
  <c r="T91" i="9"/>
  <c r="U91" i="9"/>
  <c r="V91" i="9"/>
  <c r="W91" i="9"/>
  <c r="X91" i="9"/>
  <c r="Q92" i="9"/>
  <c r="R92" i="9"/>
  <c r="S92" i="9"/>
  <c r="T92" i="9"/>
  <c r="U92" i="9"/>
  <c r="V92" i="9"/>
  <c r="W92" i="9"/>
  <c r="X92" i="9"/>
  <c r="Q93" i="9"/>
  <c r="R93" i="9"/>
  <c r="S93" i="9"/>
  <c r="T93" i="9"/>
  <c r="U93" i="9"/>
  <c r="V93" i="9"/>
  <c r="W93" i="9"/>
  <c r="X93" i="9"/>
  <c r="Q94" i="9"/>
  <c r="R94" i="9"/>
  <c r="S94" i="9"/>
  <c r="T94" i="9"/>
  <c r="U94" i="9"/>
  <c r="V94" i="9"/>
  <c r="W94" i="9"/>
  <c r="X94" i="9"/>
  <c r="Q95" i="9"/>
  <c r="R95" i="9"/>
  <c r="S95" i="9"/>
  <c r="T95" i="9"/>
  <c r="U95" i="9"/>
  <c r="V95" i="9"/>
  <c r="W95" i="9"/>
  <c r="X95" i="9"/>
  <c r="Q96" i="9"/>
  <c r="R96" i="9"/>
  <c r="S96" i="9"/>
  <c r="T96" i="9"/>
  <c r="U96" i="9"/>
  <c r="V96" i="9"/>
  <c r="W96" i="9"/>
  <c r="X96" i="9"/>
  <c r="Q97" i="9"/>
  <c r="R97" i="9"/>
  <c r="S97" i="9"/>
  <c r="T97" i="9"/>
  <c r="U97" i="9"/>
  <c r="V97" i="9"/>
  <c r="W97" i="9"/>
  <c r="X97" i="9"/>
  <c r="Q98" i="9"/>
  <c r="R98" i="9"/>
  <c r="S98" i="9"/>
  <c r="T98" i="9"/>
  <c r="U98" i="9"/>
  <c r="V98" i="9"/>
  <c r="W98" i="9"/>
  <c r="X98" i="9"/>
  <c r="Q99" i="9"/>
  <c r="R99" i="9"/>
  <c r="S99" i="9"/>
  <c r="T99" i="9"/>
  <c r="U99" i="9"/>
  <c r="V99" i="9"/>
  <c r="W99" i="9"/>
  <c r="X99" i="9"/>
  <c r="Q100" i="9"/>
  <c r="R100" i="9"/>
  <c r="S100" i="9"/>
  <c r="T100" i="9"/>
  <c r="U100" i="9"/>
  <c r="V100" i="9"/>
  <c r="W100" i="9"/>
  <c r="X100" i="9"/>
  <c r="Q101" i="9"/>
  <c r="R101" i="9"/>
  <c r="S101" i="9"/>
  <c r="T101" i="9"/>
  <c r="U101" i="9"/>
  <c r="V101" i="9"/>
  <c r="W101" i="9"/>
  <c r="X101" i="9"/>
  <c r="Q102" i="9"/>
  <c r="R102" i="9"/>
  <c r="S102" i="9"/>
  <c r="T102" i="9"/>
  <c r="U102" i="9"/>
  <c r="V102" i="9"/>
  <c r="W102" i="9"/>
  <c r="X102" i="9"/>
  <c r="Q103" i="9"/>
  <c r="R103" i="9"/>
  <c r="S103" i="9"/>
  <c r="T103" i="9"/>
  <c r="U103" i="9"/>
  <c r="V103" i="9"/>
  <c r="W103" i="9"/>
  <c r="X103" i="9"/>
  <c r="Q104" i="9"/>
  <c r="R104" i="9"/>
  <c r="S104" i="9"/>
  <c r="T104" i="9"/>
  <c r="U104" i="9"/>
  <c r="V104" i="9"/>
  <c r="W104" i="9"/>
  <c r="X104" i="9"/>
  <c r="Q105" i="9"/>
  <c r="R105" i="9"/>
  <c r="S105" i="9"/>
  <c r="T105" i="9"/>
  <c r="U105" i="9"/>
  <c r="V105" i="9"/>
  <c r="W105" i="9"/>
  <c r="X105" i="9"/>
  <c r="Q106" i="9"/>
  <c r="R106" i="9"/>
  <c r="S106" i="9"/>
  <c r="T106" i="9"/>
  <c r="U106" i="9"/>
  <c r="V106" i="9"/>
  <c r="W106" i="9"/>
  <c r="X106" i="9"/>
  <c r="Q107" i="9"/>
  <c r="R107" i="9"/>
  <c r="S107" i="9"/>
  <c r="T107" i="9"/>
  <c r="U107" i="9"/>
  <c r="V107" i="9"/>
  <c r="W107" i="9"/>
  <c r="X107" i="9"/>
  <c r="Q108" i="9"/>
  <c r="R108" i="9"/>
  <c r="S108" i="9"/>
  <c r="T108" i="9"/>
  <c r="U108" i="9"/>
  <c r="V108" i="9"/>
  <c r="W108" i="9"/>
  <c r="X108" i="9"/>
  <c r="Q109" i="9"/>
  <c r="R109" i="9"/>
  <c r="S109" i="9"/>
  <c r="T109" i="9"/>
  <c r="U109" i="9"/>
  <c r="V109" i="9"/>
  <c r="W109" i="9"/>
  <c r="X109" i="9"/>
  <c r="Q110" i="9"/>
  <c r="R110" i="9"/>
  <c r="S110" i="9"/>
  <c r="T110" i="9"/>
  <c r="U110" i="9"/>
  <c r="V110" i="9"/>
  <c r="W110" i="9"/>
  <c r="X110" i="9"/>
  <c r="Q111" i="9"/>
  <c r="R111" i="9"/>
  <c r="S111" i="9"/>
  <c r="T111" i="9"/>
  <c r="U111" i="9"/>
  <c r="V111" i="9"/>
  <c r="W111" i="9"/>
  <c r="X111" i="9"/>
  <c r="C113" i="3"/>
  <c r="R112" i="9"/>
  <c r="S112" i="9"/>
  <c r="T112" i="9"/>
  <c r="U112" i="9"/>
  <c r="V112" i="9"/>
  <c r="W112" i="9"/>
  <c r="X112" i="9"/>
  <c r="Q113" i="9"/>
  <c r="R113" i="9"/>
  <c r="S113" i="9"/>
  <c r="T113" i="9"/>
  <c r="U113" i="9"/>
  <c r="V113" i="9"/>
  <c r="W113" i="9"/>
  <c r="X113" i="9"/>
  <c r="Q114" i="9"/>
  <c r="R114" i="9"/>
  <c r="S114" i="9"/>
  <c r="T114" i="9"/>
  <c r="U114" i="9"/>
  <c r="V114" i="9"/>
  <c r="W114" i="9"/>
  <c r="X114" i="9"/>
  <c r="Q115" i="9"/>
  <c r="R115" i="9"/>
  <c r="S115" i="9"/>
  <c r="T115" i="9"/>
  <c r="U115" i="9"/>
  <c r="V115" i="9"/>
  <c r="W115" i="9"/>
  <c r="X115" i="9"/>
  <c r="Q116" i="9"/>
  <c r="R116" i="9"/>
  <c r="S116" i="9"/>
  <c r="T116" i="9"/>
  <c r="U116" i="9"/>
  <c r="V116" i="9"/>
  <c r="W116" i="9"/>
  <c r="X116" i="9"/>
  <c r="Q117" i="9"/>
  <c r="R117" i="9"/>
  <c r="S117" i="9"/>
  <c r="T117" i="9"/>
  <c r="U117" i="9"/>
  <c r="V117" i="9"/>
  <c r="W117" i="9"/>
  <c r="X117" i="9"/>
  <c r="Q118" i="9"/>
  <c r="R118" i="9"/>
  <c r="S118" i="9"/>
  <c r="T118" i="9"/>
  <c r="U118" i="9"/>
  <c r="V118" i="9"/>
  <c r="W118" i="9"/>
  <c r="X118" i="9"/>
  <c r="Q119" i="9"/>
  <c r="R119" i="9"/>
  <c r="S119" i="9"/>
  <c r="T119" i="9"/>
  <c r="U119" i="9"/>
  <c r="V119" i="9"/>
  <c r="W119" i="9"/>
  <c r="X119" i="9"/>
  <c r="Q120" i="9"/>
  <c r="R120" i="9"/>
  <c r="S120" i="9"/>
  <c r="T120" i="9"/>
  <c r="U120" i="9"/>
  <c r="V120" i="9"/>
  <c r="W120" i="9"/>
  <c r="X120" i="9"/>
  <c r="Q121" i="9"/>
  <c r="R121" i="9"/>
  <c r="S121" i="9"/>
  <c r="T121" i="9"/>
  <c r="U121" i="9"/>
  <c r="V121" i="9"/>
  <c r="W121" i="9"/>
  <c r="X121" i="9"/>
  <c r="Q122" i="9"/>
  <c r="R122" i="9"/>
  <c r="S122" i="9"/>
  <c r="T122" i="9"/>
  <c r="U122" i="9"/>
  <c r="V122" i="9"/>
  <c r="W122" i="9"/>
  <c r="X122" i="9"/>
  <c r="Q123" i="9"/>
  <c r="R123" i="9"/>
  <c r="S123" i="9"/>
  <c r="T123" i="9"/>
  <c r="U123" i="9"/>
  <c r="V123" i="9"/>
  <c r="W123" i="9"/>
  <c r="X123" i="9"/>
  <c r="Q4" i="9"/>
  <c r="R4" i="9"/>
  <c r="S4" i="9"/>
  <c r="T4" i="9"/>
  <c r="U4" i="9"/>
  <c r="V4" i="9"/>
  <c r="W4" i="9"/>
  <c r="X4" i="9"/>
  <c r="S5" i="9"/>
  <c r="T5" i="9"/>
  <c r="U5" i="9"/>
  <c r="V5" i="9"/>
  <c r="W5" i="9"/>
  <c r="X5" i="9"/>
  <c r="Q5" i="9"/>
  <c r="C6" i="3" s="1"/>
  <c r="P33" i="9"/>
  <c r="Y5" i="9"/>
  <c r="Y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Y101" i="9"/>
  <c r="Y102" i="9"/>
  <c r="Y103" i="9"/>
  <c r="Y104" i="9"/>
  <c r="Y105" i="9"/>
  <c r="Y106" i="9"/>
  <c r="Y107" i="9"/>
  <c r="Y108" i="9"/>
  <c r="Y109" i="9"/>
  <c r="Y110" i="9"/>
  <c r="Y111" i="9"/>
  <c r="Y112" i="9"/>
  <c r="Y113" i="9"/>
  <c r="Y114" i="9"/>
  <c r="Y115" i="9"/>
  <c r="Y116" i="9"/>
  <c r="Y117" i="9"/>
  <c r="Y118" i="9"/>
  <c r="Y119" i="9"/>
  <c r="Y120" i="9"/>
  <c r="Y121" i="9"/>
  <c r="Y122" i="9"/>
  <c r="Y123" i="9"/>
  <c r="Y4" i="9"/>
  <c r="P5" i="9"/>
  <c r="P6" i="9"/>
  <c r="B7" i="3" s="1"/>
  <c r="P7" i="9"/>
  <c r="P8" i="9"/>
  <c r="B9" i="3" s="1"/>
  <c r="P9" i="9"/>
  <c r="B10" i="3" s="1"/>
  <c r="P10" i="9"/>
  <c r="B11" i="3" s="1"/>
  <c r="P11" i="9"/>
  <c r="B12" i="3" s="1"/>
  <c r="P12" i="9"/>
  <c r="P13" i="9"/>
  <c r="B14" i="3" s="1"/>
  <c r="P14" i="9"/>
  <c r="B15" i="3" s="1"/>
  <c r="P15" i="9"/>
  <c r="P16" i="9"/>
  <c r="B17" i="3" s="1"/>
  <c r="P17" i="9"/>
  <c r="B18" i="3" s="1"/>
  <c r="P18" i="9"/>
  <c r="B19" i="3" s="1"/>
  <c r="P19" i="9"/>
  <c r="B20" i="3" s="1"/>
  <c r="P20" i="9"/>
  <c r="P21" i="9"/>
  <c r="B22" i="3" s="1"/>
  <c r="P22" i="9"/>
  <c r="B23" i="3" s="1"/>
  <c r="P23" i="9"/>
  <c r="P24" i="9"/>
  <c r="B25" i="3" s="1"/>
  <c r="P25" i="9"/>
  <c r="B26" i="3" s="1"/>
  <c r="P26" i="9"/>
  <c r="B27" i="3" s="1"/>
  <c r="P27" i="9"/>
  <c r="B28" i="3" s="1"/>
  <c r="P28" i="9"/>
  <c r="P29" i="9"/>
  <c r="B30" i="3" s="1"/>
  <c r="P30" i="9"/>
  <c r="B31" i="3" s="1"/>
  <c r="P31" i="9"/>
  <c r="B32" i="3" s="1"/>
  <c r="P32" i="9"/>
  <c r="B33" i="3" s="1"/>
  <c r="P34" i="9"/>
  <c r="B35" i="3" s="1"/>
  <c r="P35" i="9"/>
  <c r="B36" i="3" s="1"/>
  <c r="P36" i="9"/>
  <c r="P37" i="9"/>
  <c r="P38" i="9"/>
  <c r="B39" i="3" s="1"/>
  <c r="P39" i="9"/>
  <c r="B40" i="3" s="1"/>
  <c r="P40" i="9"/>
  <c r="P41" i="9"/>
  <c r="B42" i="3" s="1"/>
  <c r="P42" i="9"/>
  <c r="B43" i="3" s="1"/>
  <c r="P43" i="9"/>
  <c r="B44" i="3" s="1"/>
  <c r="P44" i="9"/>
  <c r="P45" i="9"/>
  <c r="P46" i="9"/>
  <c r="B47" i="3" s="1"/>
  <c r="P47" i="9"/>
  <c r="B48" i="3" s="1"/>
  <c r="P48" i="9"/>
  <c r="P49" i="9"/>
  <c r="B50" i="3" s="1"/>
  <c r="P50" i="9"/>
  <c r="B51" i="3" s="1"/>
  <c r="P51" i="9"/>
  <c r="B52" i="3" s="1"/>
  <c r="P52" i="9"/>
  <c r="P53" i="9"/>
  <c r="P54" i="9"/>
  <c r="B55" i="3" s="1"/>
  <c r="P55" i="9"/>
  <c r="B56" i="3" s="1"/>
  <c r="P56" i="9"/>
  <c r="P57" i="9"/>
  <c r="B58" i="3" s="1"/>
  <c r="P58" i="9"/>
  <c r="B59" i="3" s="1"/>
  <c r="P59" i="9"/>
  <c r="B60" i="3" s="1"/>
  <c r="P60" i="9"/>
  <c r="P61" i="9"/>
  <c r="P62" i="9"/>
  <c r="B63" i="3" s="1"/>
  <c r="P63" i="9"/>
  <c r="B64" i="3" s="1"/>
  <c r="P64" i="9"/>
  <c r="B65" i="3" s="1"/>
  <c r="P65" i="9"/>
  <c r="B66" i="3" s="1"/>
  <c r="P66" i="9"/>
  <c r="B67" i="3" s="1"/>
  <c r="P67" i="9"/>
  <c r="B68" i="3" s="1"/>
  <c r="P68" i="9"/>
  <c r="P69" i="9"/>
  <c r="P70" i="9"/>
  <c r="B71" i="3" s="1"/>
  <c r="P71" i="9"/>
  <c r="B72" i="3" s="1"/>
  <c r="P72" i="9"/>
  <c r="P73" i="9"/>
  <c r="B74" i="3" s="1"/>
  <c r="P74" i="9"/>
  <c r="B75" i="3" s="1"/>
  <c r="P75" i="9"/>
  <c r="B76" i="3" s="1"/>
  <c r="P76" i="9"/>
  <c r="P77" i="9"/>
  <c r="P78" i="9"/>
  <c r="B79" i="3" s="1"/>
  <c r="P79" i="9"/>
  <c r="B80" i="3" s="1"/>
  <c r="P80" i="9"/>
  <c r="P81" i="9"/>
  <c r="B82" i="3" s="1"/>
  <c r="P82" i="9"/>
  <c r="B83" i="3" s="1"/>
  <c r="P83" i="9"/>
  <c r="B84" i="3" s="1"/>
  <c r="P84" i="9"/>
  <c r="P85" i="9"/>
  <c r="P86" i="9"/>
  <c r="B87" i="3" s="1"/>
  <c r="P87" i="9"/>
  <c r="B88" i="3" s="1"/>
  <c r="P88" i="9"/>
  <c r="P89" i="9"/>
  <c r="B90" i="3" s="1"/>
  <c r="P90" i="9"/>
  <c r="B91" i="3" s="1"/>
  <c r="P91" i="9"/>
  <c r="B92" i="3" s="1"/>
  <c r="P92" i="9"/>
  <c r="P93" i="9"/>
  <c r="P94" i="9"/>
  <c r="B95" i="3" s="1"/>
  <c r="P95" i="9"/>
  <c r="B96" i="3" s="1"/>
  <c r="P96" i="9"/>
  <c r="B97" i="3" s="1"/>
  <c r="P97" i="9"/>
  <c r="B98" i="3" s="1"/>
  <c r="P98" i="9"/>
  <c r="B99" i="3" s="1"/>
  <c r="P99" i="9"/>
  <c r="B100" i="3" s="1"/>
  <c r="P100" i="9"/>
  <c r="P101" i="9"/>
  <c r="P102" i="9"/>
  <c r="B103" i="3" s="1"/>
  <c r="P103" i="9"/>
  <c r="B104" i="3" s="1"/>
  <c r="P104" i="9"/>
  <c r="P105" i="9"/>
  <c r="B106" i="3" s="1"/>
  <c r="P106" i="9"/>
  <c r="B107" i="3" s="1"/>
  <c r="P107" i="9"/>
  <c r="B108" i="3" s="1"/>
  <c r="P108" i="9"/>
  <c r="P109" i="9"/>
  <c r="P110" i="9"/>
  <c r="B111" i="3" s="1"/>
  <c r="P111" i="9"/>
  <c r="B112" i="3" s="1"/>
  <c r="P112" i="9"/>
  <c r="B113" i="3" s="1"/>
  <c r="P113" i="9"/>
  <c r="B114" i="3" s="1"/>
  <c r="P114" i="9"/>
  <c r="B115" i="3" s="1"/>
  <c r="P115" i="9"/>
  <c r="B116" i="3" s="1"/>
  <c r="P116" i="9"/>
  <c r="P117" i="9"/>
  <c r="P118" i="9"/>
  <c r="B119" i="3" s="1"/>
  <c r="P119" i="9"/>
  <c r="B120" i="3" s="1"/>
  <c r="P120" i="9"/>
  <c r="P121" i="9"/>
  <c r="B122" i="3" s="1"/>
  <c r="P122" i="9"/>
  <c r="B123" i="3" s="1"/>
  <c r="P123" i="9"/>
  <c r="B124" i="3" s="1"/>
  <c r="P4" i="9"/>
  <c r="M79" i="11" l="1"/>
  <c r="U11" i="3"/>
  <c r="J126" i="3"/>
  <c r="G130" i="3"/>
  <c r="U9" i="3"/>
  <c r="U8" i="3"/>
  <c r="X8" i="3" s="1"/>
  <c r="Y8" i="3" s="1"/>
  <c r="U14" i="3"/>
  <c r="T113" i="3"/>
  <c r="U7" i="3"/>
  <c r="U12" i="3"/>
  <c r="X12" i="3" s="1"/>
  <c r="Y12" i="3" s="1"/>
  <c r="Q126" i="3"/>
  <c r="Q130" i="3" s="1"/>
  <c r="I130" i="3"/>
  <c r="L126" i="3"/>
  <c r="L130" i="3" s="1"/>
  <c r="U6" i="3"/>
  <c r="X6" i="3" s="1"/>
  <c r="Y6" i="3" s="1"/>
  <c r="X9" i="3"/>
  <c r="Z9" i="3" s="1"/>
  <c r="C124" i="3"/>
  <c r="AB124" i="11"/>
  <c r="C123" i="3"/>
  <c r="AB123" i="11"/>
  <c r="C122" i="3"/>
  <c r="AB122" i="11"/>
  <c r="C121" i="3"/>
  <c r="AB103" i="11"/>
  <c r="C120" i="3"/>
  <c r="AB81" i="11"/>
  <c r="C119" i="3"/>
  <c r="AB102" i="11"/>
  <c r="C118" i="3"/>
  <c r="AB61" i="11"/>
  <c r="C117" i="3"/>
  <c r="AB121" i="11"/>
  <c r="C116" i="3"/>
  <c r="AB60" i="11"/>
  <c r="C115" i="3"/>
  <c r="AB58" i="11"/>
  <c r="C114" i="3"/>
  <c r="AB79" i="11"/>
  <c r="C112" i="3"/>
  <c r="AB101" i="11"/>
  <c r="C111" i="3"/>
  <c r="AB78" i="11"/>
  <c r="C110" i="3"/>
  <c r="AB57" i="11"/>
  <c r="C109" i="3"/>
  <c r="AB34" i="11"/>
  <c r="C108" i="3"/>
  <c r="AB56" i="11"/>
  <c r="C107" i="3"/>
  <c r="AB77" i="11"/>
  <c r="C106" i="3"/>
  <c r="AB100" i="11"/>
  <c r="C105" i="3"/>
  <c r="AB33" i="11"/>
  <c r="C104" i="3"/>
  <c r="AB32" i="11"/>
  <c r="C103" i="3"/>
  <c r="AB31" i="11"/>
  <c r="C102" i="3"/>
  <c r="AB76" i="11"/>
  <c r="C101" i="3"/>
  <c r="AB30" i="11"/>
  <c r="C100" i="3"/>
  <c r="AB99" i="11"/>
  <c r="C99" i="3"/>
  <c r="AB29" i="11"/>
  <c r="C98" i="3"/>
  <c r="AB55" i="11"/>
  <c r="C97" i="3"/>
  <c r="AB98" i="11"/>
  <c r="C96" i="3"/>
  <c r="AB120" i="11"/>
  <c r="C95" i="3"/>
  <c r="AB75" i="11"/>
  <c r="C94" i="3"/>
  <c r="AB28" i="11"/>
  <c r="C93" i="3"/>
  <c r="AB74" i="11"/>
  <c r="C92" i="3"/>
  <c r="AB119" i="11"/>
  <c r="C91" i="3"/>
  <c r="AB118" i="11"/>
  <c r="C90" i="3"/>
  <c r="AB54" i="11"/>
  <c r="C89" i="3"/>
  <c r="AB53" i="11"/>
  <c r="C88" i="3"/>
  <c r="AB73" i="11"/>
  <c r="C87" i="3"/>
  <c r="AB116" i="11"/>
  <c r="C86" i="3"/>
  <c r="AB97" i="11"/>
  <c r="C85" i="3"/>
  <c r="AB72" i="11"/>
  <c r="C84" i="3"/>
  <c r="AB52" i="11"/>
  <c r="C83" i="3"/>
  <c r="AB96" i="11"/>
  <c r="C82" i="3"/>
  <c r="AB27" i="11"/>
  <c r="C81" i="3"/>
  <c r="AB26" i="11"/>
  <c r="C80" i="3"/>
  <c r="AB71" i="11"/>
  <c r="C79" i="3"/>
  <c r="AB95" i="11"/>
  <c r="C78" i="3"/>
  <c r="AB51" i="11"/>
  <c r="C77" i="3"/>
  <c r="AB70" i="11"/>
  <c r="C76" i="3"/>
  <c r="AB25" i="11"/>
  <c r="C75" i="3"/>
  <c r="AB24" i="11"/>
  <c r="C74" i="3"/>
  <c r="AB50" i="11"/>
  <c r="C73" i="3"/>
  <c r="AB49" i="11"/>
  <c r="C72" i="3"/>
  <c r="AB115" i="11"/>
  <c r="C71" i="3"/>
  <c r="AB48" i="11"/>
  <c r="C70" i="3"/>
  <c r="AB114" i="11"/>
  <c r="C69" i="3"/>
  <c r="AB47" i="11"/>
  <c r="C68" i="3"/>
  <c r="AB23" i="11"/>
  <c r="C67" i="3"/>
  <c r="AB22" i="11"/>
  <c r="C66" i="3"/>
  <c r="AB21" i="11"/>
  <c r="C65" i="3"/>
  <c r="AB20" i="11"/>
  <c r="C64" i="3"/>
  <c r="AB68" i="11"/>
  <c r="C63" i="3"/>
  <c r="AB94" i="11"/>
  <c r="C62" i="3"/>
  <c r="AB19" i="11"/>
  <c r="C61" i="3"/>
  <c r="AB113" i="11"/>
  <c r="C60" i="3"/>
  <c r="AB93" i="11"/>
  <c r="C59" i="3"/>
  <c r="AB46" i="11"/>
  <c r="C58" i="3"/>
  <c r="AB112" i="11"/>
  <c r="C57" i="3"/>
  <c r="AB18" i="11"/>
  <c r="C56" i="3"/>
  <c r="AB92" i="11"/>
  <c r="C55" i="3"/>
  <c r="AB90" i="11"/>
  <c r="C54" i="3"/>
  <c r="AB16" i="11"/>
  <c r="C53" i="3"/>
  <c r="AB45" i="11"/>
  <c r="C52" i="3"/>
  <c r="AB88" i="11"/>
  <c r="C51" i="3"/>
  <c r="AB15" i="11"/>
  <c r="C50" i="3"/>
  <c r="AB111" i="11"/>
  <c r="C49" i="3"/>
  <c r="AB14" i="11"/>
  <c r="C48" i="3"/>
  <c r="AB87" i="11"/>
  <c r="C47" i="3"/>
  <c r="AB44" i="11"/>
  <c r="C46" i="3"/>
  <c r="AB67" i="11"/>
  <c r="C45" i="3"/>
  <c r="AB13" i="11"/>
  <c r="C44" i="3"/>
  <c r="AB43" i="11"/>
  <c r="C43" i="3"/>
  <c r="AB12" i="11"/>
  <c r="C42" i="3"/>
  <c r="AB66" i="11"/>
  <c r="C41" i="3"/>
  <c r="AB65" i="11"/>
  <c r="C40" i="3"/>
  <c r="AB86" i="11"/>
  <c r="C39" i="3"/>
  <c r="AB110" i="11"/>
  <c r="C38" i="3"/>
  <c r="AB108" i="11"/>
  <c r="C37" i="3"/>
  <c r="AB107" i="11"/>
  <c r="C36" i="3"/>
  <c r="AB42" i="11"/>
  <c r="C35" i="3"/>
  <c r="AB41" i="11"/>
  <c r="C34" i="3"/>
  <c r="AB11" i="11"/>
  <c r="C33" i="3"/>
  <c r="AB40" i="11"/>
  <c r="C32" i="3"/>
  <c r="AB64" i="11"/>
  <c r="C31" i="3"/>
  <c r="AB39" i="11"/>
  <c r="C30" i="3"/>
  <c r="AB85" i="11"/>
  <c r="C29" i="3"/>
  <c r="AB106" i="11"/>
  <c r="C28" i="3"/>
  <c r="AB105" i="11"/>
  <c r="C27" i="3"/>
  <c r="AB10" i="11"/>
  <c r="C26" i="3"/>
  <c r="AB9" i="11"/>
  <c r="C25" i="3"/>
  <c r="AB8" i="11"/>
  <c r="C24" i="3"/>
  <c r="AB84" i="11"/>
  <c r="C23" i="3"/>
  <c r="AB38" i="11"/>
  <c r="C22" i="3"/>
  <c r="AB37" i="11"/>
  <c r="C21" i="3"/>
  <c r="AB36" i="11"/>
  <c r="C20" i="3"/>
  <c r="AB63" i="11"/>
  <c r="C19" i="3"/>
  <c r="AB7" i="11"/>
  <c r="C18" i="3"/>
  <c r="AB83" i="11"/>
  <c r="C17" i="3"/>
  <c r="AB62" i="11"/>
  <c r="C16" i="3"/>
  <c r="AB82" i="11"/>
  <c r="C15" i="3"/>
  <c r="AB104" i="11"/>
  <c r="W113" i="3"/>
  <c r="D124" i="3"/>
  <c r="AC124" i="11"/>
  <c r="D123" i="3"/>
  <c r="AC123" i="11"/>
  <c r="D122" i="3"/>
  <c r="AC122" i="11"/>
  <c r="D121" i="3"/>
  <c r="AC103" i="11"/>
  <c r="D120" i="3"/>
  <c r="AC81" i="11"/>
  <c r="D119" i="3"/>
  <c r="AC102" i="11"/>
  <c r="D118" i="3"/>
  <c r="AC61" i="11"/>
  <c r="D117" i="3"/>
  <c r="AC121" i="11"/>
  <c r="D116" i="3"/>
  <c r="AC60" i="11"/>
  <c r="D115" i="3"/>
  <c r="AC58" i="11"/>
  <c r="D114" i="3"/>
  <c r="AC79" i="11"/>
  <c r="D113" i="3"/>
  <c r="AC35" i="11"/>
  <c r="D112" i="3"/>
  <c r="AC101" i="11"/>
  <c r="D111" i="3"/>
  <c r="AC78" i="11"/>
  <c r="D110" i="3"/>
  <c r="AC57" i="11"/>
  <c r="D109" i="3"/>
  <c r="AC34" i="11"/>
  <c r="D108" i="3"/>
  <c r="AC56" i="11"/>
  <c r="D107" i="3"/>
  <c r="AC77" i="11"/>
  <c r="D106" i="3"/>
  <c r="AC100" i="11"/>
  <c r="D105" i="3"/>
  <c r="AC33" i="11"/>
  <c r="D104" i="3"/>
  <c r="AC32" i="11"/>
  <c r="D103" i="3"/>
  <c r="AC31" i="11"/>
  <c r="D102" i="3"/>
  <c r="AC76" i="11"/>
  <c r="D101" i="3"/>
  <c r="AC30" i="11"/>
  <c r="D100" i="3"/>
  <c r="AC99" i="11"/>
  <c r="D99" i="3"/>
  <c r="AC29" i="11"/>
  <c r="D98" i="3"/>
  <c r="AC55" i="11"/>
  <c r="D97" i="3"/>
  <c r="AC98" i="11"/>
  <c r="D96" i="3"/>
  <c r="AC120" i="11"/>
  <c r="D95" i="3"/>
  <c r="AC75" i="11"/>
  <c r="D94" i="3"/>
  <c r="AC28" i="11"/>
  <c r="D93" i="3"/>
  <c r="AC74" i="11"/>
  <c r="D92" i="3"/>
  <c r="AC119" i="11"/>
  <c r="D91" i="3"/>
  <c r="AC118" i="11"/>
  <c r="D90" i="3"/>
  <c r="AC54" i="11"/>
  <c r="D89" i="3"/>
  <c r="AC53" i="11"/>
  <c r="D88" i="3"/>
  <c r="AC73" i="11"/>
  <c r="D87" i="3"/>
  <c r="AC116" i="11"/>
  <c r="D86" i="3"/>
  <c r="AC97" i="11"/>
  <c r="D85" i="3"/>
  <c r="AC72" i="11"/>
  <c r="D84" i="3"/>
  <c r="AC52" i="11"/>
  <c r="D83" i="3"/>
  <c r="AC96" i="11"/>
  <c r="D82" i="3"/>
  <c r="AC27" i="11"/>
  <c r="D81" i="3"/>
  <c r="AC26" i="11"/>
  <c r="D80" i="3"/>
  <c r="AC71" i="11"/>
  <c r="D79" i="3"/>
  <c r="AC95" i="11"/>
  <c r="D78" i="3"/>
  <c r="AC51" i="11"/>
  <c r="D77" i="3"/>
  <c r="AC70" i="11"/>
  <c r="D76" i="3"/>
  <c r="AC25" i="11"/>
  <c r="D75" i="3"/>
  <c r="AC24" i="11"/>
  <c r="D74" i="3"/>
  <c r="AC50" i="11"/>
  <c r="D73" i="3"/>
  <c r="AC49" i="11"/>
  <c r="D72" i="3"/>
  <c r="AC115" i="11"/>
  <c r="D71" i="3"/>
  <c r="AC48" i="11"/>
  <c r="D70" i="3"/>
  <c r="AC114" i="11"/>
  <c r="D69" i="3"/>
  <c r="AC47" i="11"/>
  <c r="D68" i="3"/>
  <c r="AC23" i="11"/>
  <c r="D67" i="3"/>
  <c r="AC22" i="11"/>
  <c r="D66" i="3"/>
  <c r="AC21" i="11"/>
  <c r="D65" i="3"/>
  <c r="AC20" i="11"/>
  <c r="D64" i="3"/>
  <c r="AC68" i="11"/>
  <c r="D63" i="3"/>
  <c r="AC94" i="11"/>
  <c r="D62" i="3"/>
  <c r="AC19" i="11"/>
  <c r="D61" i="3"/>
  <c r="AC113" i="11"/>
  <c r="D60" i="3"/>
  <c r="AC93" i="11"/>
  <c r="D59" i="3"/>
  <c r="AC46" i="11"/>
  <c r="D58" i="3"/>
  <c r="AC112" i="11"/>
  <c r="D57" i="3"/>
  <c r="AC18" i="11"/>
  <c r="D56" i="3"/>
  <c r="AC92" i="11"/>
  <c r="D55" i="3"/>
  <c r="AC90" i="11"/>
  <c r="D54" i="3"/>
  <c r="AC16" i="11"/>
  <c r="D53" i="3"/>
  <c r="AC45" i="11"/>
  <c r="D52" i="3"/>
  <c r="AC88" i="11"/>
  <c r="D51" i="3"/>
  <c r="AC15" i="11"/>
  <c r="D50" i="3"/>
  <c r="AC111" i="11"/>
  <c r="D49" i="3"/>
  <c r="AC14" i="11"/>
  <c r="D48" i="3"/>
  <c r="AC87" i="11"/>
  <c r="D47" i="3"/>
  <c r="AC44" i="11"/>
  <c r="D46" i="3"/>
  <c r="AC67" i="11"/>
  <c r="D45" i="3"/>
  <c r="AC13" i="11"/>
  <c r="D44" i="3"/>
  <c r="AC43" i="11"/>
  <c r="D43" i="3"/>
  <c r="AC12" i="11"/>
  <c r="D42" i="3"/>
  <c r="AC66" i="11"/>
  <c r="D41" i="3"/>
  <c r="AC65" i="11"/>
  <c r="D40" i="3"/>
  <c r="AC86" i="11"/>
  <c r="D39" i="3"/>
  <c r="AC110" i="11"/>
  <c r="D38" i="3"/>
  <c r="AC108" i="11"/>
  <c r="D37" i="3"/>
  <c r="AC107" i="11"/>
  <c r="D36" i="3"/>
  <c r="AC42" i="11"/>
  <c r="D35" i="3"/>
  <c r="AC41" i="11"/>
  <c r="D34" i="3"/>
  <c r="AC11" i="11"/>
  <c r="D33" i="3"/>
  <c r="AC40" i="11"/>
  <c r="D32" i="3"/>
  <c r="AC64" i="11"/>
  <c r="D31" i="3"/>
  <c r="AC39" i="11"/>
  <c r="D30" i="3"/>
  <c r="AC85" i="11"/>
  <c r="D29" i="3"/>
  <c r="AC106" i="11"/>
  <c r="D28" i="3"/>
  <c r="AC105" i="11"/>
  <c r="D27" i="3"/>
  <c r="AC10" i="11"/>
  <c r="D26" i="3"/>
  <c r="AC9" i="11"/>
  <c r="D25" i="3"/>
  <c r="AC8" i="11"/>
  <c r="D24" i="3"/>
  <c r="AC84" i="11"/>
  <c r="D23" i="3"/>
  <c r="AC38" i="11"/>
  <c r="D22" i="3"/>
  <c r="AC37" i="11"/>
  <c r="D21" i="3"/>
  <c r="AC36" i="11"/>
  <c r="D20" i="3"/>
  <c r="AC63" i="11"/>
  <c r="D19" i="3"/>
  <c r="D18" i="3"/>
  <c r="AC83" i="11"/>
  <c r="D17" i="3"/>
  <c r="AC62" i="11"/>
  <c r="D16" i="3"/>
  <c r="AC82" i="11"/>
  <c r="D15" i="3"/>
  <c r="AC104" i="11"/>
  <c r="X14" i="3"/>
  <c r="Y14" i="3" s="1"/>
  <c r="X7" i="3"/>
  <c r="Y7" i="3" s="1"/>
  <c r="X11" i="3"/>
  <c r="Y11" i="3" s="1"/>
  <c r="B34" i="3"/>
  <c r="B121" i="3"/>
  <c r="B105" i="3"/>
  <c r="B89" i="3"/>
  <c r="B81" i="3"/>
  <c r="B73" i="3"/>
  <c r="B57" i="3"/>
  <c r="B49" i="3"/>
  <c r="B41" i="3"/>
  <c r="B24" i="3"/>
  <c r="B16" i="3"/>
  <c r="B8" i="3"/>
  <c r="L10" i="11"/>
  <c r="B118" i="3"/>
  <c r="B110" i="3"/>
  <c r="B102" i="3"/>
  <c r="B94" i="3"/>
  <c r="B86" i="3"/>
  <c r="B78" i="3"/>
  <c r="B70" i="3"/>
  <c r="B62" i="3"/>
  <c r="B54" i="3"/>
  <c r="B46" i="3"/>
  <c r="B38" i="3"/>
  <c r="K10" i="11"/>
  <c r="K8" i="11" s="1"/>
  <c r="B117" i="3"/>
  <c r="B109" i="3"/>
  <c r="B101" i="3"/>
  <c r="B93" i="3"/>
  <c r="B85" i="3"/>
  <c r="B77" i="3"/>
  <c r="B69" i="3"/>
  <c r="B61" i="3"/>
  <c r="B53" i="3"/>
  <c r="B45" i="3"/>
  <c r="B37" i="3"/>
  <c r="B29" i="3"/>
  <c r="B21" i="3"/>
  <c r="B13" i="3"/>
  <c r="R126" i="3" l="1"/>
  <c r="R130" i="3" s="1"/>
  <c r="J130" i="3"/>
  <c r="M126" i="3"/>
  <c r="M130" i="3" s="1"/>
  <c r="C5" i="3"/>
  <c r="L5" i="3" s="1"/>
  <c r="Z11" i="3"/>
  <c r="Z7" i="3"/>
  <c r="Z12" i="3"/>
  <c r="Z8" i="3"/>
  <c r="Z14" i="3"/>
  <c r="Z6" i="3"/>
  <c r="G124" i="3"/>
  <c r="J124" i="3" s="1"/>
  <c r="AC254" i="11"/>
  <c r="F124" i="3"/>
  <c r="I124" i="3" s="1"/>
  <c r="AB254" i="11"/>
  <c r="Y9" i="3"/>
  <c r="D5" i="3"/>
  <c r="M5" i="3" s="1"/>
  <c r="F16" i="3"/>
  <c r="I16" i="3" s="1"/>
  <c r="AB212" i="11"/>
  <c r="F20" i="3"/>
  <c r="I20" i="3" s="1"/>
  <c r="AB193" i="11"/>
  <c r="F24" i="3"/>
  <c r="I24" i="3" s="1"/>
  <c r="AB214" i="11"/>
  <c r="F28" i="3"/>
  <c r="I28" i="3" s="1"/>
  <c r="AB235" i="11"/>
  <c r="F32" i="3"/>
  <c r="I32" i="3" s="1"/>
  <c r="AB194" i="11"/>
  <c r="F36" i="3"/>
  <c r="I36" i="3" s="1"/>
  <c r="AB172" i="11"/>
  <c r="F40" i="3"/>
  <c r="I40" i="3" s="1"/>
  <c r="AB216" i="11"/>
  <c r="AB173" i="11"/>
  <c r="F44" i="3"/>
  <c r="I44" i="3" s="1"/>
  <c r="F48" i="3"/>
  <c r="I48" i="3" s="1"/>
  <c r="AB217" i="11"/>
  <c r="F52" i="3"/>
  <c r="I52" i="3" s="1"/>
  <c r="AB218" i="11"/>
  <c r="AB222" i="11"/>
  <c r="F56" i="3"/>
  <c r="I56" i="3" s="1"/>
  <c r="F60" i="3"/>
  <c r="I60" i="3" s="1"/>
  <c r="AB223" i="11"/>
  <c r="F64" i="3"/>
  <c r="I64" i="3" s="1"/>
  <c r="AB198" i="11"/>
  <c r="F68" i="3"/>
  <c r="I68" i="3" s="1"/>
  <c r="AB153" i="11"/>
  <c r="F72" i="3"/>
  <c r="I72" i="3" s="1"/>
  <c r="AB245" i="11"/>
  <c r="F76" i="3"/>
  <c r="I76" i="3" s="1"/>
  <c r="AB155" i="11"/>
  <c r="F80" i="3"/>
  <c r="I80" i="3" s="1"/>
  <c r="AB201" i="11"/>
  <c r="F84" i="3"/>
  <c r="I84" i="3" s="1"/>
  <c r="AB182" i="11"/>
  <c r="AB203" i="11"/>
  <c r="F88" i="3"/>
  <c r="I88" i="3" s="1"/>
  <c r="F92" i="3"/>
  <c r="I92" i="3" s="1"/>
  <c r="AB249" i="11"/>
  <c r="F96" i="3"/>
  <c r="I96" i="3" s="1"/>
  <c r="AB250" i="11"/>
  <c r="F100" i="3"/>
  <c r="I100" i="3" s="1"/>
  <c r="AB229" i="11"/>
  <c r="F104" i="3"/>
  <c r="I104" i="3" s="1"/>
  <c r="AB162" i="11"/>
  <c r="F108" i="3"/>
  <c r="I108" i="3" s="1"/>
  <c r="AB186" i="11"/>
  <c r="F112" i="3"/>
  <c r="I112" i="3" s="1"/>
  <c r="AB231" i="11"/>
  <c r="F117" i="3"/>
  <c r="I117" i="3" s="1"/>
  <c r="AB251" i="11"/>
  <c r="AB233" i="11"/>
  <c r="F121" i="3"/>
  <c r="I121" i="3" s="1"/>
  <c r="AC213" i="11"/>
  <c r="G18" i="3"/>
  <c r="J18" i="3" s="1"/>
  <c r="G22" i="3"/>
  <c r="J22" i="3" s="1"/>
  <c r="AC167" i="11"/>
  <c r="G26" i="3"/>
  <c r="J26" i="3" s="1"/>
  <c r="AC139" i="11"/>
  <c r="G30" i="3"/>
  <c r="J30" i="3" s="1"/>
  <c r="AC215" i="11"/>
  <c r="AC141" i="11"/>
  <c r="G34" i="3"/>
  <c r="J34" i="3" s="1"/>
  <c r="G38" i="3"/>
  <c r="J38" i="3" s="1"/>
  <c r="AC238" i="11"/>
  <c r="G42" i="3"/>
  <c r="J42" i="3" s="1"/>
  <c r="AC196" i="11"/>
  <c r="AC197" i="11"/>
  <c r="G46" i="3"/>
  <c r="J46" i="3" s="1"/>
  <c r="G50" i="3"/>
  <c r="J50" i="3" s="1"/>
  <c r="AC241" i="11"/>
  <c r="G54" i="3"/>
  <c r="J54" i="3" s="1"/>
  <c r="AC146" i="11"/>
  <c r="G58" i="3"/>
  <c r="J58" i="3" s="1"/>
  <c r="AC242" i="11"/>
  <c r="G62" i="3"/>
  <c r="J62" i="3" s="1"/>
  <c r="AC149" i="11"/>
  <c r="G66" i="3"/>
  <c r="J66" i="3" s="1"/>
  <c r="AC151" i="11"/>
  <c r="G70" i="3"/>
  <c r="J70" i="3" s="1"/>
  <c r="AC244" i="11"/>
  <c r="G74" i="3"/>
  <c r="J74" i="3" s="1"/>
  <c r="AC180" i="11"/>
  <c r="G78" i="3"/>
  <c r="J78" i="3" s="1"/>
  <c r="AC181" i="11"/>
  <c r="G82" i="3"/>
  <c r="J82" i="3" s="1"/>
  <c r="AC157" i="11"/>
  <c r="G86" i="3"/>
  <c r="J86" i="3" s="1"/>
  <c r="AC227" i="11"/>
  <c r="G90" i="3"/>
  <c r="J90" i="3" s="1"/>
  <c r="AC184" i="11"/>
  <c r="G94" i="3"/>
  <c r="J94" i="3" s="1"/>
  <c r="AC158" i="11"/>
  <c r="G98" i="3"/>
  <c r="J98" i="3" s="1"/>
  <c r="AC185" i="11"/>
  <c r="AC206" i="11"/>
  <c r="G102" i="3"/>
  <c r="J102" i="3" s="1"/>
  <c r="G106" i="3"/>
  <c r="J106" i="3" s="1"/>
  <c r="AC230" i="11"/>
  <c r="G110" i="3"/>
  <c r="J110" i="3" s="1"/>
  <c r="AC187" i="11"/>
  <c r="G114" i="3"/>
  <c r="J114" i="3" s="1"/>
  <c r="AC209" i="11"/>
  <c r="G118" i="3"/>
  <c r="J118" i="3" s="1"/>
  <c r="AC191" i="11"/>
  <c r="G122" i="3"/>
  <c r="J122" i="3" s="1"/>
  <c r="AC252" i="11"/>
  <c r="AB192" i="11"/>
  <c r="F17" i="3"/>
  <c r="I17" i="3" s="1"/>
  <c r="F21" i="3"/>
  <c r="I21" i="3" s="1"/>
  <c r="AB166" i="11"/>
  <c r="F25" i="3"/>
  <c r="I25" i="3" s="1"/>
  <c r="AB138" i="11"/>
  <c r="F29" i="3"/>
  <c r="I29" i="3" s="1"/>
  <c r="AB236" i="11"/>
  <c r="F33" i="3"/>
  <c r="I33" i="3" s="1"/>
  <c r="AB170" i="11"/>
  <c r="F37" i="3"/>
  <c r="I37" i="3" s="1"/>
  <c r="AB237" i="11"/>
  <c r="F41" i="3"/>
  <c r="I41" i="3" s="1"/>
  <c r="AB195" i="11"/>
  <c r="F45" i="3"/>
  <c r="I45" i="3" s="1"/>
  <c r="AB143" i="11"/>
  <c r="F49" i="3"/>
  <c r="I49" i="3" s="1"/>
  <c r="AB144" i="11"/>
  <c r="F53" i="3"/>
  <c r="I53" i="3" s="1"/>
  <c r="AB175" i="11"/>
  <c r="F57" i="3"/>
  <c r="I57" i="3" s="1"/>
  <c r="AB148" i="11"/>
  <c r="F61" i="3"/>
  <c r="I61" i="3" s="1"/>
  <c r="AB243" i="11"/>
  <c r="F65" i="3"/>
  <c r="I65" i="3" s="1"/>
  <c r="AB150" i="11"/>
  <c r="AB177" i="11"/>
  <c r="F69" i="3"/>
  <c r="I69" i="3" s="1"/>
  <c r="F73" i="3"/>
  <c r="I73" i="3" s="1"/>
  <c r="AB179" i="11"/>
  <c r="AB200" i="11"/>
  <c r="F77" i="3"/>
  <c r="I77" i="3" s="1"/>
  <c r="F81" i="3"/>
  <c r="I81" i="3" s="1"/>
  <c r="AB156" i="11"/>
  <c r="AB202" i="11"/>
  <c r="F85" i="3"/>
  <c r="I85" i="3" s="1"/>
  <c r="F89" i="3"/>
  <c r="I89" i="3" s="1"/>
  <c r="AB183" i="11"/>
  <c r="AB204" i="11"/>
  <c r="F93" i="3"/>
  <c r="I93" i="3" s="1"/>
  <c r="F97" i="3"/>
  <c r="I97" i="3" s="1"/>
  <c r="AB228" i="11"/>
  <c r="AB160" i="11"/>
  <c r="F101" i="3"/>
  <c r="I101" i="3" s="1"/>
  <c r="F105" i="3"/>
  <c r="I105" i="3" s="1"/>
  <c r="AB163" i="11"/>
  <c r="F109" i="3"/>
  <c r="I109" i="3" s="1"/>
  <c r="AB164" i="11"/>
  <c r="AB209" i="11"/>
  <c r="F114" i="3"/>
  <c r="I114" i="3" s="1"/>
  <c r="F118" i="3"/>
  <c r="I118" i="3" s="1"/>
  <c r="AB191" i="11"/>
  <c r="F122" i="3"/>
  <c r="I122" i="3" s="1"/>
  <c r="AB252" i="11"/>
  <c r="G15" i="3"/>
  <c r="J15" i="3" s="1"/>
  <c r="AC234" i="11"/>
  <c r="G19" i="3"/>
  <c r="J19" i="3" s="1"/>
  <c r="AC137" i="11"/>
  <c r="G23" i="3"/>
  <c r="J23" i="3" s="1"/>
  <c r="AC168" i="11"/>
  <c r="G27" i="3"/>
  <c r="J27" i="3" s="1"/>
  <c r="AC140" i="11"/>
  <c r="G31" i="3"/>
  <c r="J31" i="3" s="1"/>
  <c r="AC169" i="11"/>
  <c r="G35" i="3"/>
  <c r="J35" i="3" s="1"/>
  <c r="AC171" i="11"/>
  <c r="G39" i="3"/>
  <c r="J39" i="3" s="1"/>
  <c r="AC240" i="11"/>
  <c r="AC142" i="11"/>
  <c r="G43" i="3"/>
  <c r="J43" i="3" s="1"/>
  <c r="G47" i="3"/>
  <c r="J47" i="3" s="1"/>
  <c r="AC174" i="11"/>
  <c r="AC145" i="11"/>
  <c r="G51" i="3"/>
  <c r="J51" i="3" s="1"/>
  <c r="AC220" i="11"/>
  <c r="G55" i="3"/>
  <c r="J55" i="3" s="1"/>
  <c r="G59" i="3"/>
  <c r="J59" i="3" s="1"/>
  <c r="AC176" i="11"/>
  <c r="G63" i="3"/>
  <c r="J63" i="3" s="1"/>
  <c r="AC224" i="11"/>
  <c r="AC152" i="11"/>
  <c r="G67" i="3"/>
  <c r="J67" i="3" s="1"/>
  <c r="G71" i="3"/>
  <c r="J71" i="3" s="1"/>
  <c r="AC178" i="11"/>
  <c r="G75" i="3"/>
  <c r="J75" i="3" s="1"/>
  <c r="AC154" i="11"/>
  <c r="G79" i="3"/>
  <c r="J79" i="3" s="1"/>
  <c r="AC225" i="11"/>
  <c r="G83" i="3"/>
  <c r="J83" i="3" s="1"/>
  <c r="AC226" i="11"/>
  <c r="G87" i="3"/>
  <c r="J87" i="3" s="1"/>
  <c r="AC246" i="11"/>
  <c r="G91" i="3"/>
  <c r="J91" i="3" s="1"/>
  <c r="AC248" i="11"/>
  <c r="G95" i="3"/>
  <c r="J95" i="3" s="1"/>
  <c r="AC205" i="11"/>
  <c r="G99" i="3"/>
  <c r="J99" i="3" s="1"/>
  <c r="AC159" i="11"/>
  <c r="G103" i="3"/>
  <c r="J103" i="3" s="1"/>
  <c r="AC161" i="11"/>
  <c r="G107" i="3"/>
  <c r="J107" i="3" s="1"/>
  <c r="AC207" i="11"/>
  <c r="AC208" i="11"/>
  <c r="G111" i="3"/>
  <c r="J111" i="3" s="1"/>
  <c r="G115" i="3"/>
  <c r="J115" i="3" s="1"/>
  <c r="AC188" i="11"/>
  <c r="G119" i="3"/>
  <c r="J119" i="3" s="1"/>
  <c r="AC232" i="11"/>
  <c r="G123" i="3"/>
  <c r="J123" i="3" s="1"/>
  <c r="AC253" i="11"/>
  <c r="F18" i="3"/>
  <c r="I18" i="3" s="1"/>
  <c r="AB213" i="11"/>
  <c r="F22" i="3"/>
  <c r="I22" i="3" s="1"/>
  <c r="AB167" i="11"/>
  <c r="F26" i="3"/>
  <c r="I26" i="3" s="1"/>
  <c r="AB139" i="11"/>
  <c r="F30" i="3"/>
  <c r="I30" i="3" s="1"/>
  <c r="AB215" i="11"/>
  <c r="F34" i="3"/>
  <c r="I34" i="3" s="1"/>
  <c r="AB141" i="11"/>
  <c r="AB238" i="11"/>
  <c r="F38" i="3"/>
  <c r="I38" i="3" s="1"/>
  <c r="AB196" i="11"/>
  <c r="F42" i="3"/>
  <c r="I42" i="3" s="1"/>
  <c r="F46" i="3"/>
  <c r="I46" i="3" s="1"/>
  <c r="AB197" i="11"/>
  <c r="F50" i="3"/>
  <c r="I50" i="3" s="1"/>
  <c r="AB241" i="11"/>
  <c r="AB146" i="11"/>
  <c r="F54" i="3"/>
  <c r="I54" i="3" s="1"/>
  <c r="F58" i="3"/>
  <c r="I58" i="3" s="1"/>
  <c r="AB242" i="11"/>
  <c r="F62" i="3"/>
  <c r="I62" i="3" s="1"/>
  <c r="AB149" i="11"/>
  <c r="F66" i="3"/>
  <c r="I66" i="3" s="1"/>
  <c r="AB151" i="11"/>
  <c r="F70" i="3"/>
  <c r="I70" i="3" s="1"/>
  <c r="AB244" i="11"/>
  <c r="F74" i="3"/>
  <c r="I74" i="3" s="1"/>
  <c r="AB180" i="11"/>
  <c r="F78" i="3"/>
  <c r="I78" i="3" s="1"/>
  <c r="AB181" i="11"/>
  <c r="F82" i="3"/>
  <c r="I82" i="3" s="1"/>
  <c r="AB157" i="11"/>
  <c r="F86" i="3"/>
  <c r="I86" i="3" s="1"/>
  <c r="AB227" i="11"/>
  <c r="F90" i="3"/>
  <c r="I90" i="3" s="1"/>
  <c r="AB184" i="11"/>
  <c r="AB158" i="11"/>
  <c r="F94" i="3"/>
  <c r="I94" i="3" s="1"/>
  <c r="F98" i="3"/>
  <c r="I98" i="3" s="1"/>
  <c r="AB185" i="11"/>
  <c r="F102" i="3"/>
  <c r="I102" i="3" s="1"/>
  <c r="AB206" i="11"/>
  <c r="F106" i="3"/>
  <c r="I106" i="3" s="1"/>
  <c r="AB230" i="11"/>
  <c r="F110" i="3"/>
  <c r="I110" i="3" s="1"/>
  <c r="AB187" i="11"/>
  <c r="F115" i="3"/>
  <c r="I115" i="3" s="1"/>
  <c r="AB188" i="11"/>
  <c r="F119" i="3"/>
  <c r="I119" i="3" s="1"/>
  <c r="AB232" i="11"/>
  <c r="F123" i="3"/>
  <c r="I123" i="3" s="1"/>
  <c r="AB253" i="11"/>
  <c r="G16" i="3"/>
  <c r="J16" i="3" s="1"/>
  <c r="AC212" i="11"/>
  <c r="G20" i="3"/>
  <c r="J20" i="3" s="1"/>
  <c r="AC193" i="11"/>
  <c r="G24" i="3"/>
  <c r="J24" i="3" s="1"/>
  <c r="AC214" i="11"/>
  <c r="G28" i="3"/>
  <c r="J28" i="3" s="1"/>
  <c r="AC235" i="11"/>
  <c r="G32" i="3"/>
  <c r="J32" i="3" s="1"/>
  <c r="AC194" i="11"/>
  <c r="G36" i="3"/>
  <c r="J36" i="3" s="1"/>
  <c r="AC172" i="11"/>
  <c r="G40" i="3"/>
  <c r="J40" i="3" s="1"/>
  <c r="AC216" i="11"/>
  <c r="G44" i="3"/>
  <c r="J44" i="3" s="1"/>
  <c r="AC173" i="11"/>
  <c r="G48" i="3"/>
  <c r="J48" i="3" s="1"/>
  <c r="AC217" i="11"/>
  <c r="G52" i="3"/>
  <c r="J52" i="3" s="1"/>
  <c r="AC218" i="11"/>
  <c r="G56" i="3"/>
  <c r="J56" i="3" s="1"/>
  <c r="AC222" i="11"/>
  <c r="G60" i="3"/>
  <c r="J60" i="3" s="1"/>
  <c r="AC223" i="11"/>
  <c r="G64" i="3"/>
  <c r="J64" i="3" s="1"/>
  <c r="AC198" i="11"/>
  <c r="G68" i="3"/>
  <c r="J68" i="3" s="1"/>
  <c r="AC153" i="11"/>
  <c r="G72" i="3"/>
  <c r="J72" i="3" s="1"/>
  <c r="AC245" i="11"/>
  <c r="AC155" i="11"/>
  <c r="G76" i="3"/>
  <c r="J76" i="3" s="1"/>
  <c r="G80" i="3"/>
  <c r="J80" i="3" s="1"/>
  <c r="AC201" i="11"/>
  <c r="AC182" i="11"/>
  <c r="G84" i="3"/>
  <c r="J84" i="3" s="1"/>
  <c r="G88" i="3"/>
  <c r="J88" i="3" s="1"/>
  <c r="AC203" i="11"/>
  <c r="G92" i="3"/>
  <c r="J92" i="3" s="1"/>
  <c r="AC249" i="11"/>
  <c r="AC250" i="11"/>
  <c r="G96" i="3"/>
  <c r="J96" i="3" s="1"/>
  <c r="G100" i="3"/>
  <c r="J100" i="3" s="1"/>
  <c r="AC229" i="11"/>
  <c r="G104" i="3"/>
  <c r="J104" i="3" s="1"/>
  <c r="AC162" i="11"/>
  <c r="G108" i="3"/>
  <c r="J108" i="3" s="1"/>
  <c r="AC186" i="11"/>
  <c r="AC231" i="11"/>
  <c r="G112" i="3"/>
  <c r="J112" i="3" s="1"/>
  <c r="G116" i="3"/>
  <c r="J116" i="3" s="1"/>
  <c r="AC190" i="11"/>
  <c r="G120" i="3"/>
  <c r="J120" i="3" s="1"/>
  <c r="AC211" i="11"/>
  <c r="M124" i="3"/>
  <c r="F15" i="3"/>
  <c r="I15" i="3" s="1"/>
  <c r="AB234" i="11"/>
  <c r="F19" i="3"/>
  <c r="I19" i="3" s="1"/>
  <c r="AB137" i="11"/>
  <c r="AB168" i="11"/>
  <c r="F23" i="3"/>
  <c r="I23" i="3" s="1"/>
  <c r="F27" i="3"/>
  <c r="I27" i="3" s="1"/>
  <c r="AB140" i="11"/>
  <c r="AB169" i="11"/>
  <c r="F31" i="3"/>
  <c r="I31" i="3" s="1"/>
  <c r="F35" i="3"/>
  <c r="I35" i="3" s="1"/>
  <c r="AB171" i="11"/>
  <c r="F39" i="3"/>
  <c r="I39" i="3" s="1"/>
  <c r="AB240" i="11"/>
  <c r="F43" i="3"/>
  <c r="I43" i="3" s="1"/>
  <c r="AB142" i="11"/>
  <c r="F47" i="3"/>
  <c r="I47" i="3" s="1"/>
  <c r="AB174" i="11"/>
  <c r="F51" i="3"/>
  <c r="I51" i="3" s="1"/>
  <c r="AB145" i="11"/>
  <c r="F55" i="3"/>
  <c r="I55" i="3" s="1"/>
  <c r="AB220" i="11"/>
  <c r="F59" i="3"/>
  <c r="I59" i="3" s="1"/>
  <c r="AB176" i="11"/>
  <c r="F63" i="3"/>
  <c r="I63" i="3" s="1"/>
  <c r="AB224" i="11"/>
  <c r="F67" i="3"/>
  <c r="I67" i="3" s="1"/>
  <c r="AB152" i="11"/>
  <c r="F71" i="3"/>
  <c r="I71" i="3" s="1"/>
  <c r="AB178" i="11"/>
  <c r="F75" i="3"/>
  <c r="I75" i="3" s="1"/>
  <c r="AB154" i="11"/>
  <c r="F79" i="3"/>
  <c r="I79" i="3" s="1"/>
  <c r="AB225" i="11"/>
  <c r="F83" i="3"/>
  <c r="I83" i="3" s="1"/>
  <c r="AB226" i="11"/>
  <c r="F87" i="3"/>
  <c r="I87" i="3" s="1"/>
  <c r="AB246" i="11"/>
  <c r="F91" i="3"/>
  <c r="I91" i="3" s="1"/>
  <c r="AB248" i="11"/>
  <c r="F95" i="3"/>
  <c r="I95" i="3" s="1"/>
  <c r="AB205" i="11"/>
  <c r="F99" i="3"/>
  <c r="I99" i="3" s="1"/>
  <c r="AB159" i="11"/>
  <c r="F103" i="3"/>
  <c r="I103" i="3" s="1"/>
  <c r="AB161" i="11"/>
  <c r="F107" i="3"/>
  <c r="I107" i="3" s="1"/>
  <c r="AB207" i="11"/>
  <c r="F111" i="3"/>
  <c r="I111" i="3" s="1"/>
  <c r="AB208" i="11"/>
  <c r="F116" i="3"/>
  <c r="I116" i="3" s="1"/>
  <c r="AB190" i="11"/>
  <c r="F120" i="3"/>
  <c r="I120" i="3" s="1"/>
  <c r="AB211" i="11"/>
  <c r="L124" i="3"/>
  <c r="Q124" i="3"/>
  <c r="AC192" i="11"/>
  <c r="G17" i="3"/>
  <c r="J17" i="3" s="1"/>
  <c r="AC166" i="11"/>
  <c r="G21" i="3"/>
  <c r="J21" i="3" s="1"/>
  <c r="G25" i="3"/>
  <c r="J25" i="3" s="1"/>
  <c r="AC138" i="11"/>
  <c r="G29" i="3"/>
  <c r="J29" i="3" s="1"/>
  <c r="AC236" i="11"/>
  <c r="AC170" i="11"/>
  <c r="G33" i="3"/>
  <c r="J33" i="3" s="1"/>
  <c r="G37" i="3"/>
  <c r="J37" i="3" s="1"/>
  <c r="AC237" i="11"/>
  <c r="G41" i="3"/>
  <c r="J41" i="3" s="1"/>
  <c r="AC195" i="11"/>
  <c r="G45" i="3"/>
  <c r="J45" i="3" s="1"/>
  <c r="AC143" i="11"/>
  <c r="G49" i="3"/>
  <c r="J49" i="3" s="1"/>
  <c r="AC144" i="11"/>
  <c r="AC175" i="11"/>
  <c r="G53" i="3"/>
  <c r="J53" i="3" s="1"/>
  <c r="G57" i="3"/>
  <c r="J57" i="3" s="1"/>
  <c r="AC148" i="11"/>
  <c r="G61" i="3"/>
  <c r="J61" i="3" s="1"/>
  <c r="AC243" i="11"/>
  <c r="G65" i="3"/>
  <c r="J65" i="3" s="1"/>
  <c r="AC150" i="11"/>
  <c r="G69" i="3"/>
  <c r="J69" i="3" s="1"/>
  <c r="AC177" i="11"/>
  <c r="G73" i="3"/>
  <c r="J73" i="3" s="1"/>
  <c r="AC179" i="11"/>
  <c r="G77" i="3"/>
  <c r="J77" i="3" s="1"/>
  <c r="AC200" i="11"/>
  <c r="G81" i="3"/>
  <c r="J81" i="3" s="1"/>
  <c r="AC156" i="11"/>
  <c r="G85" i="3"/>
  <c r="J85" i="3" s="1"/>
  <c r="AC202" i="11"/>
  <c r="AC183" i="11"/>
  <c r="G89" i="3"/>
  <c r="J89" i="3" s="1"/>
  <c r="G93" i="3"/>
  <c r="J93" i="3" s="1"/>
  <c r="AC204" i="11"/>
  <c r="G97" i="3"/>
  <c r="J97" i="3" s="1"/>
  <c r="AC228" i="11"/>
  <c r="G101" i="3"/>
  <c r="J101" i="3" s="1"/>
  <c r="AC160" i="11"/>
  <c r="G105" i="3"/>
  <c r="J105" i="3" s="1"/>
  <c r="AC163" i="11"/>
  <c r="G109" i="3"/>
  <c r="J109" i="3" s="1"/>
  <c r="AC164" i="11"/>
  <c r="G113" i="3"/>
  <c r="J113" i="3" s="1"/>
  <c r="AC165" i="11"/>
  <c r="AC251" i="11"/>
  <c r="G117" i="3"/>
  <c r="J117" i="3" s="1"/>
  <c r="G121" i="3"/>
  <c r="J121" i="3" s="1"/>
  <c r="AC233" i="11"/>
  <c r="B5" i="3"/>
  <c r="K5" i="3" s="1"/>
  <c r="C21" i="6"/>
  <c r="F101" i="6"/>
  <c r="M101" i="6" s="1"/>
  <c r="N101" i="6" s="1"/>
  <c r="C101" i="6"/>
  <c r="L101" i="6" s="1"/>
  <c r="N94" i="3" s="1"/>
  <c r="C89" i="6"/>
  <c r="N89" i="6" s="1"/>
  <c r="D65" i="6"/>
  <c r="C59" i="6"/>
  <c r="N59" i="6" s="1"/>
  <c r="C35" i="6"/>
  <c r="N35" i="6" s="1"/>
  <c r="C57" i="6"/>
  <c r="N57" i="6" s="1"/>
  <c r="C117" i="6"/>
  <c r="N117" i="6" s="1"/>
  <c r="C129" i="6"/>
  <c r="N129" i="6" s="1"/>
  <c r="C31" i="6"/>
  <c r="N31" i="6" s="1"/>
  <c r="C103" i="6"/>
  <c r="N103" i="6" s="1"/>
  <c r="C91" i="6"/>
  <c r="N91" i="6" s="1"/>
  <c r="C78" i="6"/>
  <c r="F7" i="6"/>
  <c r="M7" i="6" s="1"/>
  <c r="N10" i="3" s="1"/>
  <c r="C18" i="6"/>
  <c r="N18" i="6" s="1"/>
  <c r="C46" i="6"/>
  <c r="N46" i="6" s="1"/>
  <c r="C49" i="6"/>
  <c r="L49" i="6" s="1"/>
  <c r="C52" i="6"/>
  <c r="N52" i="6" s="1"/>
  <c r="C70" i="6"/>
  <c r="C30" i="6"/>
  <c r="N30" i="6" s="1"/>
  <c r="M17" i="6"/>
  <c r="C17" i="6"/>
  <c r="C99" i="6"/>
  <c r="N99" i="6" s="1"/>
  <c r="C113" i="6"/>
  <c r="N113" i="6" s="1"/>
  <c r="L42" i="3" l="1"/>
  <c r="M55" i="3"/>
  <c r="L69" i="3"/>
  <c r="M18" i="3"/>
  <c r="M48" i="3"/>
  <c r="L78" i="3"/>
  <c r="M108" i="3"/>
  <c r="M92" i="3"/>
  <c r="L106" i="3"/>
  <c r="L90" i="3"/>
  <c r="L74" i="3"/>
  <c r="M103" i="3"/>
  <c r="M23" i="3"/>
  <c r="L118" i="3"/>
  <c r="L53" i="3"/>
  <c r="M98" i="3"/>
  <c r="M82" i="3"/>
  <c r="L108" i="3"/>
  <c r="L92" i="3"/>
  <c r="L28" i="3"/>
  <c r="M65" i="3"/>
  <c r="L15" i="3"/>
  <c r="U124" i="3"/>
  <c r="M28" i="3"/>
  <c r="M61" i="3"/>
  <c r="M45" i="3"/>
  <c r="M29" i="3"/>
  <c r="T124" i="3"/>
  <c r="W124" i="3" s="1"/>
  <c r="L59" i="3"/>
  <c r="L27" i="3"/>
  <c r="M16" i="3"/>
  <c r="L62" i="3"/>
  <c r="L22" i="3"/>
  <c r="M115" i="3"/>
  <c r="M99" i="3"/>
  <c r="M19" i="3"/>
  <c r="L65" i="3"/>
  <c r="L33" i="3"/>
  <c r="M110" i="3"/>
  <c r="M94" i="3"/>
  <c r="M78" i="3"/>
  <c r="M62" i="3"/>
  <c r="M89" i="3"/>
  <c r="L23" i="3"/>
  <c r="M73" i="3"/>
  <c r="L103" i="3"/>
  <c r="L55" i="3"/>
  <c r="M84" i="3"/>
  <c r="M53" i="3"/>
  <c r="M68" i="3"/>
  <c r="M36" i="3"/>
  <c r="L115" i="3"/>
  <c r="L98" i="3"/>
  <c r="L82" i="3"/>
  <c r="M31" i="3"/>
  <c r="L45" i="3"/>
  <c r="L29" i="3"/>
  <c r="M106" i="3"/>
  <c r="M74" i="3"/>
  <c r="M42" i="3"/>
  <c r="L84" i="3"/>
  <c r="L68" i="3"/>
  <c r="L36" i="3"/>
  <c r="R124" i="3"/>
  <c r="L31" i="3"/>
  <c r="L18" i="3"/>
  <c r="M15" i="3"/>
  <c r="L61" i="3"/>
  <c r="M122" i="3"/>
  <c r="M90" i="3"/>
  <c r="M69" i="3"/>
  <c r="L99" i="3"/>
  <c r="L19" i="3"/>
  <c r="M96" i="3"/>
  <c r="L94" i="3"/>
  <c r="M33" i="3"/>
  <c r="L110" i="3"/>
  <c r="M59" i="3"/>
  <c r="M27" i="3"/>
  <c r="L122" i="3"/>
  <c r="L89" i="3"/>
  <c r="L73" i="3"/>
  <c r="M118" i="3"/>
  <c r="M22" i="3"/>
  <c r="L96" i="3"/>
  <c r="L48" i="3"/>
  <c r="L16" i="3"/>
  <c r="L17" i="6"/>
  <c r="N15" i="3" s="1"/>
  <c r="R15" i="3" s="1"/>
  <c r="N17" i="6"/>
  <c r="L17" i="3"/>
  <c r="Q17" i="3"/>
  <c r="M113" i="3"/>
  <c r="R113" i="3"/>
  <c r="L120" i="3"/>
  <c r="Q120" i="3"/>
  <c r="L87" i="3"/>
  <c r="Q87" i="3"/>
  <c r="M80" i="3"/>
  <c r="R80" i="3"/>
  <c r="M32" i="3"/>
  <c r="R32" i="3"/>
  <c r="L66" i="3"/>
  <c r="Q66" i="3"/>
  <c r="M119" i="3"/>
  <c r="R119" i="3"/>
  <c r="M87" i="3"/>
  <c r="R87" i="3"/>
  <c r="R71" i="3"/>
  <c r="M71" i="3"/>
  <c r="M39" i="3"/>
  <c r="R39" i="3"/>
  <c r="Q109" i="3"/>
  <c r="L109" i="3"/>
  <c r="M58" i="3"/>
  <c r="R58" i="3"/>
  <c r="M26" i="3"/>
  <c r="R26" i="3"/>
  <c r="L121" i="3"/>
  <c r="Q121" i="3"/>
  <c r="L88" i="3"/>
  <c r="Q88" i="3"/>
  <c r="Q56" i="3"/>
  <c r="L56" i="3"/>
  <c r="M105" i="3"/>
  <c r="R105" i="3"/>
  <c r="M97" i="3"/>
  <c r="R97" i="3"/>
  <c r="M81" i="3"/>
  <c r="R81" i="3"/>
  <c r="M49" i="3"/>
  <c r="R49" i="3"/>
  <c r="L71" i="3"/>
  <c r="Q71" i="3"/>
  <c r="L39" i="3"/>
  <c r="Q39" i="3"/>
  <c r="M64" i="3"/>
  <c r="R64" i="3"/>
  <c r="L50" i="3"/>
  <c r="Q50" i="3"/>
  <c r="L34" i="3"/>
  <c r="Q34" i="3"/>
  <c r="AB135" i="11"/>
  <c r="M76" i="3"/>
  <c r="R76" i="3"/>
  <c r="M67" i="3"/>
  <c r="R67" i="3"/>
  <c r="M51" i="3"/>
  <c r="R51" i="3"/>
  <c r="AC135" i="11"/>
  <c r="R102" i="3"/>
  <c r="M102" i="3"/>
  <c r="L104" i="3"/>
  <c r="Q104" i="3"/>
  <c r="L72" i="3"/>
  <c r="Q72" i="3"/>
  <c r="Q40" i="3"/>
  <c r="L40" i="3"/>
  <c r="L24" i="3"/>
  <c r="Q24" i="3"/>
  <c r="M121" i="3"/>
  <c r="R121" i="3"/>
  <c r="M21" i="3"/>
  <c r="R21" i="3"/>
  <c r="M43" i="3"/>
  <c r="R43" i="3"/>
  <c r="L80" i="3"/>
  <c r="Q80" i="3"/>
  <c r="M93" i="3"/>
  <c r="R93" i="3"/>
  <c r="L116" i="3"/>
  <c r="Q116" i="3"/>
  <c r="L67" i="3"/>
  <c r="Q67" i="3"/>
  <c r="L35" i="3"/>
  <c r="Q35" i="3"/>
  <c r="M60" i="3"/>
  <c r="R60" i="3"/>
  <c r="L30" i="3"/>
  <c r="Q30" i="3"/>
  <c r="M83" i="3"/>
  <c r="R83" i="3"/>
  <c r="M35" i="3"/>
  <c r="R35" i="3"/>
  <c r="L105" i="3"/>
  <c r="Q105" i="3"/>
  <c r="L57" i="3"/>
  <c r="Q57" i="3"/>
  <c r="L41" i="3"/>
  <c r="Q41" i="3"/>
  <c r="L25" i="3"/>
  <c r="Q25" i="3"/>
  <c r="M86" i="3"/>
  <c r="R86" i="3"/>
  <c r="M70" i="3"/>
  <c r="R70" i="3"/>
  <c r="M54" i="3"/>
  <c r="R54" i="3"/>
  <c r="R38" i="3"/>
  <c r="M38" i="3"/>
  <c r="M117" i="3"/>
  <c r="R117" i="3"/>
  <c r="L114" i="3"/>
  <c r="Q114" i="3"/>
  <c r="L64" i="3"/>
  <c r="Q64" i="3"/>
  <c r="M109" i="3"/>
  <c r="R109" i="3"/>
  <c r="R77" i="3"/>
  <c r="M77" i="3"/>
  <c r="L83" i="3"/>
  <c r="Q83" i="3"/>
  <c r="L51" i="3"/>
  <c r="Q51" i="3"/>
  <c r="M44" i="3"/>
  <c r="R44" i="3"/>
  <c r="L46" i="3"/>
  <c r="Q46" i="3"/>
  <c r="M111" i="3"/>
  <c r="R111" i="3"/>
  <c r="L101" i="3"/>
  <c r="Q101" i="3"/>
  <c r="L85" i="3"/>
  <c r="Q85" i="3"/>
  <c r="M34" i="3"/>
  <c r="R34" i="3"/>
  <c r="L117" i="3"/>
  <c r="Q117" i="3"/>
  <c r="L100" i="3"/>
  <c r="Q100" i="3"/>
  <c r="L52" i="3"/>
  <c r="Q52" i="3"/>
  <c r="L20" i="3"/>
  <c r="Q20" i="3"/>
  <c r="M57" i="3"/>
  <c r="R57" i="3"/>
  <c r="M41" i="3"/>
  <c r="R41" i="3"/>
  <c r="M25" i="3"/>
  <c r="R25" i="3"/>
  <c r="L111" i="3"/>
  <c r="Q111" i="3"/>
  <c r="L95" i="3"/>
  <c r="Q95" i="3"/>
  <c r="L79" i="3"/>
  <c r="Q79" i="3"/>
  <c r="L63" i="3"/>
  <c r="Q63" i="3"/>
  <c r="L47" i="3"/>
  <c r="Q47" i="3"/>
  <c r="M120" i="3"/>
  <c r="R120" i="3"/>
  <c r="M104" i="3"/>
  <c r="R104" i="3"/>
  <c r="M88" i="3"/>
  <c r="R88" i="3"/>
  <c r="M72" i="3"/>
  <c r="R72" i="3"/>
  <c r="M56" i="3"/>
  <c r="R56" i="3"/>
  <c r="M40" i="3"/>
  <c r="R40" i="3"/>
  <c r="R24" i="3"/>
  <c r="M24" i="3"/>
  <c r="L123" i="3"/>
  <c r="Q123" i="3"/>
  <c r="L58" i="3"/>
  <c r="Q58" i="3"/>
  <c r="L26" i="3"/>
  <c r="Q26" i="3"/>
  <c r="M95" i="3"/>
  <c r="R95" i="3"/>
  <c r="M79" i="3"/>
  <c r="R79" i="3"/>
  <c r="M63" i="3"/>
  <c r="R63" i="3"/>
  <c r="M47" i="3"/>
  <c r="R47" i="3"/>
  <c r="L37" i="3"/>
  <c r="Q37" i="3"/>
  <c r="L21" i="3"/>
  <c r="Q21" i="3"/>
  <c r="R114" i="3"/>
  <c r="M114" i="3"/>
  <c r="M66" i="3"/>
  <c r="R66" i="3"/>
  <c r="M50" i="3"/>
  <c r="R50" i="3"/>
  <c r="L38" i="3"/>
  <c r="Q38" i="3"/>
  <c r="R46" i="3"/>
  <c r="M46" i="3"/>
  <c r="L32" i="3"/>
  <c r="Q32" i="3"/>
  <c r="M101" i="3"/>
  <c r="R101" i="3"/>
  <c r="M37" i="3"/>
  <c r="R37" i="3"/>
  <c r="L107" i="3"/>
  <c r="Q107" i="3"/>
  <c r="Q43" i="3"/>
  <c r="L43" i="3"/>
  <c r="M116" i="3"/>
  <c r="R116" i="3"/>
  <c r="M52" i="3"/>
  <c r="R52" i="3"/>
  <c r="M20" i="3"/>
  <c r="R20" i="3"/>
  <c r="L119" i="3"/>
  <c r="Q119" i="3"/>
  <c r="L86" i="3"/>
  <c r="Q86" i="3"/>
  <c r="M123" i="3"/>
  <c r="R123" i="3"/>
  <c r="M91" i="3"/>
  <c r="R91" i="3"/>
  <c r="M75" i="3"/>
  <c r="R75" i="3"/>
  <c r="L97" i="3"/>
  <c r="Q97" i="3"/>
  <c r="L81" i="3"/>
  <c r="Q81" i="3"/>
  <c r="L49" i="3"/>
  <c r="Q49" i="3"/>
  <c r="M30" i="3"/>
  <c r="R30" i="3"/>
  <c r="L44" i="3"/>
  <c r="Q44" i="3"/>
  <c r="L54" i="3"/>
  <c r="Q54" i="3"/>
  <c r="L112" i="3"/>
  <c r="Q112" i="3"/>
  <c r="M85" i="3"/>
  <c r="R85" i="3"/>
  <c r="L91" i="3"/>
  <c r="Q91" i="3"/>
  <c r="L75" i="3"/>
  <c r="Q75" i="3"/>
  <c r="M100" i="3"/>
  <c r="R100" i="3"/>
  <c r="L102" i="3"/>
  <c r="Q102" i="3"/>
  <c r="L70" i="3"/>
  <c r="Q70" i="3"/>
  <c r="M107" i="3"/>
  <c r="R107" i="3"/>
  <c r="M17" i="3"/>
  <c r="R17" i="3"/>
  <c r="M112" i="3"/>
  <c r="R112" i="3"/>
  <c r="L93" i="3"/>
  <c r="Q93" i="3"/>
  <c r="L77" i="3"/>
  <c r="Q77" i="3"/>
  <c r="L76" i="3"/>
  <c r="Q76" i="3"/>
  <c r="L60" i="3"/>
  <c r="Q60" i="3"/>
  <c r="N70" i="6"/>
  <c r="C136" i="6"/>
  <c r="L78" i="6"/>
  <c r="C137" i="6"/>
  <c r="O94" i="3"/>
  <c r="N21" i="6"/>
  <c r="C134" i="6"/>
  <c r="Q10" i="3"/>
  <c r="P10" i="3"/>
  <c r="R10" i="3"/>
  <c r="P94" i="3"/>
  <c r="Q94" i="3"/>
  <c r="R94" i="3"/>
  <c r="N45" i="3"/>
  <c r="N7" i="6"/>
  <c r="L46" i="6"/>
  <c r="N42" i="3" s="1"/>
  <c r="L129" i="6"/>
  <c r="N122" i="3" s="1"/>
  <c r="L18" i="6"/>
  <c r="N16" i="3" s="1"/>
  <c r="L117" i="6"/>
  <c r="N110" i="3" s="1"/>
  <c r="L30" i="6"/>
  <c r="N27" i="3" s="1"/>
  <c r="L57" i="6"/>
  <c r="N53" i="3" s="1"/>
  <c r="L35" i="6"/>
  <c r="N31" i="3" s="1"/>
  <c r="L70" i="6"/>
  <c r="L59" i="6"/>
  <c r="N55" i="3" s="1"/>
  <c r="L21" i="6"/>
  <c r="L31" i="6"/>
  <c r="N28" i="3" s="1"/>
  <c r="L113" i="6"/>
  <c r="N106" i="3" s="1"/>
  <c r="L91" i="6"/>
  <c r="N84" i="3" s="1"/>
  <c r="L65" i="6"/>
  <c r="L99" i="6"/>
  <c r="N92" i="3" s="1"/>
  <c r="L52" i="6"/>
  <c r="N48" i="3" s="1"/>
  <c r="L103" i="6"/>
  <c r="N96" i="3" s="1"/>
  <c r="L89" i="6"/>
  <c r="N82" i="3" s="1"/>
  <c r="C15" i="6"/>
  <c r="N15" i="6" s="1"/>
  <c r="C105" i="6"/>
  <c r="N105" i="6" s="1"/>
  <c r="C84" i="6"/>
  <c r="N84" i="6" s="1"/>
  <c r="C80" i="6"/>
  <c r="N80" i="6" s="1"/>
  <c r="C63" i="6"/>
  <c r="N63" i="6" s="1"/>
  <c r="C37" i="6"/>
  <c r="N37" i="6" s="1"/>
  <c r="C122" i="6"/>
  <c r="N122" i="6" s="1"/>
  <c r="C115" i="6"/>
  <c r="N115" i="6" s="1"/>
  <c r="C97" i="6"/>
  <c r="N97" i="6" s="1"/>
  <c r="C26" i="6"/>
  <c r="N26" i="6" s="1"/>
  <c r="C110" i="6"/>
  <c r="N110" i="6" s="1"/>
  <c r="C106" i="6"/>
  <c r="N106" i="6" s="1"/>
  <c r="C73" i="6"/>
  <c r="N73" i="6" s="1"/>
  <c r="C22" i="6"/>
  <c r="N22" i="6" s="1"/>
  <c r="C125" i="6"/>
  <c r="N125" i="6" s="1"/>
  <c r="C96" i="6"/>
  <c r="N96" i="6" s="1"/>
  <c r="C74" i="6"/>
  <c r="N74" i="6" s="1"/>
  <c r="C40" i="6"/>
  <c r="N40" i="6" s="1"/>
  <c r="C25" i="6"/>
  <c r="N25" i="6" s="1"/>
  <c r="C32" i="6"/>
  <c r="C66" i="6"/>
  <c r="N66" i="6" s="1"/>
  <c r="G6" i="5"/>
  <c r="G7" i="5"/>
  <c r="G8" i="5"/>
  <c r="G9" i="5"/>
  <c r="G10" i="5"/>
  <c r="S126" i="3"/>
  <c r="T126" i="3"/>
  <c r="U126" i="3"/>
  <c r="S127" i="3"/>
  <c r="V127" i="3" s="1"/>
  <c r="T127" i="3"/>
  <c r="W127" i="3" s="1"/>
  <c r="U127" i="3"/>
  <c r="X127" i="3" s="1"/>
  <c r="S128" i="3"/>
  <c r="V128" i="3" s="1"/>
  <c r="T128" i="3"/>
  <c r="W128" i="3" s="1"/>
  <c r="U128" i="3"/>
  <c r="X128" i="3" s="1"/>
  <c r="S129" i="3"/>
  <c r="V129" i="3" s="1"/>
  <c r="T129" i="3"/>
  <c r="W129" i="3" s="1"/>
  <c r="U129" i="3"/>
  <c r="X129" i="3" s="1"/>
  <c r="X124" i="3" l="1"/>
  <c r="U94" i="3"/>
  <c r="X94" i="3" s="1"/>
  <c r="U37" i="3"/>
  <c r="X37" i="3" s="1"/>
  <c r="U86" i="3"/>
  <c r="U24" i="3"/>
  <c r="X24" i="3" s="1"/>
  <c r="U38" i="3"/>
  <c r="X38" i="3" s="1"/>
  <c r="U102" i="3"/>
  <c r="X102" i="3" s="1"/>
  <c r="T54" i="3"/>
  <c r="W54" i="3" s="1"/>
  <c r="U79" i="3"/>
  <c r="X79" i="3" s="1"/>
  <c r="U117" i="3"/>
  <c r="X117" i="3" s="1"/>
  <c r="U76" i="3"/>
  <c r="X76" i="3" s="1"/>
  <c r="T93" i="3"/>
  <c r="W93" i="3" s="1"/>
  <c r="T70" i="3"/>
  <c r="W70" i="3" s="1"/>
  <c r="T91" i="3"/>
  <c r="W91" i="3" s="1"/>
  <c r="T44" i="3"/>
  <c r="W44" i="3" s="1"/>
  <c r="T97" i="3"/>
  <c r="T86" i="3"/>
  <c r="W86" i="3" s="1"/>
  <c r="U116" i="3"/>
  <c r="X116" i="3" s="1"/>
  <c r="U101" i="3"/>
  <c r="X101" i="3" s="1"/>
  <c r="U50" i="3"/>
  <c r="X50" i="3" s="1"/>
  <c r="T37" i="3"/>
  <c r="W37" i="3" s="1"/>
  <c r="U95" i="3"/>
  <c r="X95" i="3" s="1"/>
  <c r="U88" i="3"/>
  <c r="X88" i="3" s="1"/>
  <c r="T63" i="3"/>
  <c r="W63" i="3" s="1"/>
  <c r="U25" i="3"/>
  <c r="X25" i="3" s="1"/>
  <c r="T52" i="3"/>
  <c r="W52" i="3" s="1"/>
  <c r="T85" i="3"/>
  <c r="W85" i="3" s="1"/>
  <c r="U44" i="3"/>
  <c r="X44" i="3" s="1"/>
  <c r="U109" i="3"/>
  <c r="X109" i="3" s="1"/>
  <c r="T25" i="3"/>
  <c r="W25" i="3" s="1"/>
  <c r="U35" i="3"/>
  <c r="X35" i="3" s="1"/>
  <c r="T35" i="3"/>
  <c r="W35" i="3" s="1"/>
  <c r="T80" i="3"/>
  <c r="W80" i="3" s="1"/>
  <c r="T24" i="3"/>
  <c r="W24" i="3" s="1"/>
  <c r="T39" i="3"/>
  <c r="U97" i="3"/>
  <c r="X97" i="3" s="1"/>
  <c r="T121" i="3"/>
  <c r="W121" i="3" s="1"/>
  <c r="U39" i="3"/>
  <c r="X39" i="3" s="1"/>
  <c r="T66" i="3"/>
  <c r="W66" i="3" s="1"/>
  <c r="T120" i="3"/>
  <c r="W120" i="3" s="1"/>
  <c r="U107" i="3"/>
  <c r="X107" i="3" s="1"/>
  <c r="T43" i="3"/>
  <c r="W43" i="3" s="1"/>
  <c r="T40" i="3"/>
  <c r="W40" i="3" s="1"/>
  <c r="U71" i="3"/>
  <c r="X71" i="3" s="1"/>
  <c r="T77" i="3"/>
  <c r="W77" i="3" s="1"/>
  <c r="U123" i="3"/>
  <c r="X123" i="3" s="1"/>
  <c r="T21" i="3"/>
  <c r="W21" i="3" s="1"/>
  <c r="T47" i="3"/>
  <c r="W47" i="3" s="1"/>
  <c r="T20" i="3"/>
  <c r="W20" i="3" s="1"/>
  <c r="U121" i="3"/>
  <c r="X121" i="3" s="1"/>
  <c r="T102" i="3"/>
  <c r="W102" i="3" s="1"/>
  <c r="U30" i="3"/>
  <c r="X30" i="3" s="1"/>
  <c r="T119" i="3"/>
  <c r="W119" i="3" s="1"/>
  <c r="T32" i="3"/>
  <c r="W32" i="3" s="1"/>
  <c r="U47" i="3"/>
  <c r="X47" i="3" s="1"/>
  <c r="U104" i="3"/>
  <c r="U41" i="3"/>
  <c r="X41" i="3" s="1"/>
  <c r="T101" i="3"/>
  <c r="W101" i="3" s="1"/>
  <c r="T64" i="3"/>
  <c r="W64" i="3" s="1"/>
  <c r="T41" i="3"/>
  <c r="W41" i="3" s="1"/>
  <c r="U83" i="3"/>
  <c r="T67" i="3"/>
  <c r="W67" i="3" s="1"/>
  <c r="T34" i="3"/>
  <c r="W34" i="3" s="1"/>
  <c r="T71" i="3"/>
  <c r="W71" i="3" s="1"/>
  <c r="U105" i="3"/>
  <c r="X105" i="3" s="1"/>
  <c r="U26" i="3"/>
  <c r="X26" i="3" s="1"/>
  <c r="U32" i="3"/>
  <c r="X32" i="3" s="1"/>
  <c r="U113" i="3"/>
  <c r="X113" i="3" s="1"/>
  <c r="Z113" i="3" s="1"/>
  <c r="T75" i="3"/>
  <c r="W75" i="3" s="1"/>
  <c r="U52" i="3"/>
  <c r="X52" i="3" s="1"/>
  <c r="T123" i="3"/>
  <c r="W123" i="3" s="1"/>
  <c r="U34" i="3"/>
  <c r="X34" i="3" s="1"/>
  <c r="T60" i="3"/>
  <c r="W60" i="3" s="1"/>
  <c r="U112" i="3"/>
  <c r="X112" i="3" s="1"/>
  <c r="U85" i="3"/>
  <c r="X85" i="3" s="1"/>
  <c r="U75" i="3"/>
  <c r="X75" i="3" s="1"/>
  <c r="U66" i="3"/>
  <c r="X66" i="3" s="1"/>
  <c r="T26" i="3"/>
  <c r="W26" i="3" s="1"/>
  <c r="U40" i="3"/>
  <c r="T79" i="3"/>
  <c r="T100" i="3"/>
  <c r="W100" i="3" s="1"/>
  <c r="T51" i="3"/>
  <c r="W51" i="3" s="1"/>
  <c r="U54" i="3"/>
  <c r="X54" i="3" s="1"/>
  <c r="U43" i="3"/>
  <c r="X43" i="3" s="1"/>
  <c r="U46" i="3"/>
  <c r="X46" i="3" s="1"/>
  <c r="U114" i="3"/>
  <c r="X114" i="3" s="1"/>
  <c r="U51" i="3"/>
  <c r="X51" i="3" s="1"/>
  <c r="T56" i="3"/>
  <c r="W56" i="3" s="1"/>
  <c r="T76" i="3"/>
  <c r="W76" i="3" s="1"/>
  <c r="U17" i="3"/>
  <c r="X17" i="3" s="1"/>
  <c r="U100" i="3"/>
  <c r="X100" i="3" s="1"/>
  <c r="T112" i="3"/>
  <c r="W112" i="3" s="1"/>
  <c r="T49" i="3"/>
  <c r="U91" i="3"/>
  <c r="X91" i="3" s="1"/>
  <c r="U20" i="3"/>
  <c r="X20" i="3" s="1"/>
  <c r="T107" i="3"/>
  <c r="W107" i="3" s="1"/>
  <c r="U63" i="3"/>
  <c r="T58" i="3"/>
  <c r="W58" i="3" s="1"/>
  <c r="U56" i="3"/>
  <c r="X56" i="3" s="1"/>
  <c r="U120" i="3"/>
  <c r="T95" i="3"/>
  <c r="W95" i="3" s="1"/>
  <c r="U57" i="3"/>
  <c r="X57" i="3" s="1"/>
  <c r="T117" i="3"/>
  <c r="W117" i="3" s="1"/>
  <c r="U111" i="3"/>
  <c r="X111" i="3" s="1"/>
  <c r="T83" i="3"/>
  <c r="W83" i="3" s="1"/>
  <c r="T114" i="3"/>
  <c r="W114" i="3" s="1"/>
  <c r="U70" i="3"/>
  <c r="X70" i="3" s="1"/>
  <c r="T57" i="3"/>
  <c r="W57" i="3" s="1"/>
  <c r="T30" i="3"/>
  <c r="W30" i="3" s="1"/>
  <c r="T116" i="3"/>
  <c r="W116" i="3" s="1"/>
  <c r="U21" i="3"/>
  <c r="X21" i="3" s="1"/>
  <c r="T72" i="3"/>
  <c r="W72" i="3" s="1"/>
  <c r="T50" i="3"/>
  <c r="W50" i="3" s="1"/>
  <c r="U49" i="3"/>
  <c r="X49" i="3" s="1"/>
  <c r="U58" i="3"/>
  <c r="X58" i="3" s="1"/>
  <c r="U87" i="3"/>
  <c r="X87" i="3" s="1"/>
  <c r="U80" i="3"/>
  <c r="X80" i="3" s="1"/>
  <c r="T17" i="3"/>
  <c r="W17" i="3" s="1"/>
  <c r="U77" i="3"/>
  <c r="X77" i="3" s="1"/>
  <c r="U67" i="3"/>
  <c r="X67" i="3" s="1"/>
  <c r="T109" i="3"/>
  <c r="W109" i="3" s="1"/>
  <c r="T81" i="3"/>
  <c r="W81" i="3" s="1"/>
  <c r="T38" i="3"/>
  <c r="W38" i="3" s="1"/>
  <c r="U72" i="3"/>
  <c r="X72" i="3" s="1"/>
  <c r="T111" i="3"/>
  <c r="W111" i="3" s="1"/>
  <c r="T46" i="3"/>
  <c r="W46" i="3" s="1"/>
  <c r="T105" i="3"/>
  <c r="W105" i="3" s="1"/>
  <c r="U60" i="3"/>
  <c r="X60" i="3" s="1"/>
  <c r="U93" i="3"/>
  <c r="X93" i="3" s="1"/>
  <c r="T104" i="3"/>
  <c r="W104" i="3" s="1"/>
  <c r="U64" i="3"/>
  <c r="X64" i="3" s="1"/>
  <c r="U81" i="3"/>
  <c r="X81" i="3" s="1"/>
  <c r="T88" i="3"/>
  <c r="W88" i="3" s="1"/>
  <c r="U119" i="3"/>
  <c r="X119" i="3" s="1"/>
  <c r="T87" i="3"/>
  <c r="W87" i="3" s="1"/>
  <c r="X126" i="3"/>
  <c r="X130" i="3" s="1"/>
  <c r="U130" i="3"/>
  <c r="W126" i="3"/>
  <c r="W130" i="3" s="1"/>
  <c r="T130" i="3"/>
  <c r="V126" i="3"/>
  <c r="V130" i="3" s="1"/>
  <c r="S130" i="3"/>
  <c r="Z127" i="3"/>
  <c r="Z129" i="3"/>
  <c r="Z128" i="3"/>
  <c r="Z124" i="3"/>
  <c r="Y128" i="3"/>
  <c r="Y129" i="3"/>
  <c r="Y127" i="3"/>
  <c r="Y124" i="3"/>
  <c r="X63" i="3"/>
  <c r="W97" i="3"/>
  <c r="X86" i="3"/>
  <c r="X104" i="3"/>
  <c r="X120" i="3"/>
  <c r="W39" i="3"/>
  <c r="X83" i="3"/>
  <c r="W49" i="3"/>
  <c r="X40" i="3"/>
  <c r="W79" i="3"/>
  <c r="Q15" i="3"/>
  <c r="P15" i="3"/>
  <c r="T94" i="3"/>
  <c r="W94" i="3" s="1"/>
  <c r="S94" i="3"/>
  <c r="V94" i="3" s="1"/>
  <c r="L136" i="6"/>
  <c r="N136" i="6"/>
  <c r="L137" i="6"/>
  <c r="N137" i="6"/>
  <c r="O15" i="3"/>
  <c r="S15" i="3" s="1"/>
  <c r="L134" i="6"/>
  <c r="N134" i="6"/>
  <c r="O45" i="3"/>
  <c r="S45" i="3" s="1"/>
  <c r="N32" i="6"/>
  <c r="C135" i="6"/>
  <c r="P92" i="3"/>
  <c r="Q92" i="3"/>
  <c r="R92" i="3"/>
  <c r="P31" i="3"/>
  <c r="Q31" i="3"/>
  <c r="R31" i="3"/>
  <c r="Q45" i="3"/>
  <c r="R45" i="3"/>
  <c r="P45" i="3"/>
  <c r="N65" i="6"/>
  <c r="N61" i="3"/>
  <c r="Q53" i="3"/>
  <c r="R53" i="3"/>
  <c r="P53" i="3"/>
  <c r="R82" i="3"/>
  <c r="P82" i="3"/>
  <c r="Q82" i="3"/>
  <c r="P84" i="3"/>
  <c r="Q84" i="3"/>
  <c r="R84" i="3"/>
  <c r="P27" i="3"/>
  <c r="Q27" i="3"/>
  <c r="R27" i="3"/>
  <c r="R106" i="3"/>
  <c r="P106" i="3"/>
  <c r="Q106" i="3"/>
  <c r="P110" i="3"/>
  <c r="Q110" i="3"/>
  <c r="R110" i="3"/>
  <c r="P28" i="3"/>
  <c r="Q28" i="3"/>
  <c r="R28" i="3"/>
  <c r="P16" i="3"/>
  <c r="Q16" i="3"/>
  <c r="R16" i="3"/>
  <c r="R122" i="3"/>
  <c r="P122" i="3"/>
  <c r="Q122" i="3"/>
  <c r="P96" i="3"/>
  <c r="Q96" i="3"/>
  <c r="R96" i="3"/>
  <c r="P55" i="3"/>
  <c r="Q55" i="3"/>
  <c r="R55" i="3"/>
  <c r="R42" i="3"/>
  <c r="P42" i="3"/>
  <c r="Q42" i="3"/>
  <c r="P48" i="3"/>
  <c r="Q48" i="3"/>
  <c r="R48" i="3"/>
  <c r="L66" i="6"/>
  <c r="N62" i="3" s="1"/>
  <c r="L84" i="6"/>
  <c r="N78" i="3" s="1"/>
  <c r="L40" i="6"/>
  <c r="N36" i="3" s="1"/>
  <c r="L26" i="6"/>
  <c r="N23" i="3" s="1"/>
  <c r="L105" i="6"/>
  <c r="N98" i="3" s="1"/>
  <c r="L32" i="6"/>
  <c r="L80" i="6"/>
  <c r="N74" i="3" s="1"/>
  <c r="L110" i="6"/>
  <c r="N103" i="3" s="1"/>
  <c r="L97" i="6"/>
  <c r="N90" i="3" s="1"/>
  <c r="L115" i="6"/>
  <c r="N108" i="3" s="1"/>
  <c r="L73" i="6"/>
  <c r="N68" i="3" s="1"/>
  <c r="L25" i="6"/>
  <c r="N22" i="3" s="1"/>
  <c r="L74" i="6"/>
  <c r="N69" i="3" s="1"/>
  <c r="L15" i="6"/>
  <c r="N13" i="3" s="1"/>
  <c r="L63" i="6"/>
  <c r="N59" i="3" s="1"/>
  <c r="L106" i="6"/>
  <c r="N99" i="3" s="1"/>
  <c r="L96" i="6"/>
  <c r="N89" i="3" s="1"/>
  <c r="L125" i="6"/>
  <c r="N118" i="3" s="1"/>
  <c r="L122" i="6"/>
  <c r="N115" i="3" s="1"/>
  <c r="L22" i="6"/>
  <c r="L37" i="6"/>
  <c r="N33" i="3" s="1"/>
  <c r="Z44" i="3" l="1"/>
  <c r="Z121" i="3"/>
  <c r="Y126" i="3"/>
  <c r="Y130" i="3" s="1"/>
  <c r="Z126" i="3"/>
  <c r="Z130" i="3" s="1"/>
  <c r="Z26" i="3"/>
  <c r="Z79" i="3"/>
  <c r="Z100" i="3"/>
  <c r="Z85" i="3"/>
  <c r="Z75" i="3"/>
  <c r="Z87" i="3"/>
  <c r="Z107" i="3"/>
  <c r="Z63" i="3"/>
  <c r="Z101" i="3"/>
  <c r="Z52" i="3"/>
  <c r="Z39" i="3"/>
  <c r="Z38" i="3"/>
  <c r="Z80" i="3"/>
  <c r="Z17" i="3"/>
  <c r="Z66" i="3"/>
  <c r="Z30" i="3"/>
  <c r="Z32" i="3"/>
  <c r="Z88" i="3"/>
  <c r="Z72" i="3"/>
  <c r="Z104" i="3"/>
  <c r="Z57" i="3"/>
  <c r="Z105" i="3"/>
  <c r="Z86" i="3"/>
  <c r="Z67" i="3"/>
  <c r="Z114" i="3"/>
  <c r="Z91" i="3"/>
  <c r="Z46" i="3"/>
  <c r="Z43" i="3"/>
  <c r="Z24" i="3"/>
  <c r="Z37" i="3"/>
  <c r="Z111" i="3"/>
  <c r="Z40" i="3"/>
  <c r="Z41" i="3"/>
  <c r="Z76" i="3"/>
  <c r="Z97" i="3"/>
  <c r="Z102" i="3"/>
  <c r="Z64" i="3"/>
  <c r="Z77" i="3"/>
  <c r="Z81" i="3"/>
  <c r="Z54" i="3"/>
  <c r="Z21" i="3"/>
  <c r="Z25" i="3"/>
  <c r="Z112" i="3"/>
  <c r="Z123" i="3"/>
  <c r="Z51" i="3"/>
  <c r="Z70" i="3"/>
  <c r="Z83" i="3"/>
  <c r="Z120" i="3"/>
  <c r="Z35" i="3"/>
  <c r="Z60" i="3"/>
  <c r="Z94" i="3"/>
  <c r="Z34" i="3"/>
  <c r="Z49" i="3"/>
  <c r="Z93" i="3"/>
  <c r="Z117" i="3"/>
  <c r="Z56" i="3"/>
  <c r="Z58" i="3"/>
  <c r="Z116" i="3"/>
  <c r="Z20" i="3"/>
  <c r="Z119" i="3"/>
  <c r="Z95" i="3"/>
  <c r="Z50" i="3"/>
  <c r="Z47" i="3"/>
  <c r="Z71" i="3"/>
  <c r="Z109" i="3"/>
  <c r="Y109" i="3"/>
  <c r="Y102" i="3"/>
  <c r="Y63" i="3"/>
  <c r="Y60" i="3"/>
  <c r="Y17" i="3"/>
  <c r="Y35" i="3"/>
  <c r="Y41" i="3"/>
  <c r="Y30" i="3"/>
  <c r="Y21" i="3"/>
  <c r="Y38" i="3"/>
  <c r="Y44" i="3"/>
  <c r="Y54" i="3"/>
  <c r="Y47" i="3"/>
  <c r="Y56" i="3"/>
  <c r="Y83" i="3"/>
  <c r="Y117" i="3"/>
  <c r="Y113" i="3"/>
  <c r="Y51" i="3"/>
  <c r="Y70" i="3"/>
  <c r="Y80" i="3"/>
  <c r="Y87" i="3"/>
  <c r="Y81" i="3"/>
  <c r="Y71" i="3"/>
  <c r="Y50" i="3"/>
  <c r="Y64" i="3"/>
  <c r="Y95" i="3"/>
  <c r="Y77" i="3"/>
  <c r="Y111" i="3"/>
  <c r="Y58" i="3"/>
  <c r="Y120" i="3"/>
  <c r="Y37" i="3"/>
  <c r="Y66" i="3"/>
  <c r="Y24" i="3"/>
  <c r="Y72" i="3"/>
  <c r="Y40" i="3"/>
  <c r="Y32" i="3"/>
  <c r="Y88" i="3"/>
  <c r="Y86" i="3"/>
  <c r="Y25" i="3"/>
  <c r="Y46" i="3"/>
  <c r="Y76" i="3"/>
  <c r="Y123" i="3"/>
  <c r="Y75" i="3"/>
  <c r="Y20" i="3"/>
  <c r="Y39" i="3"/>
  <c r="Y91" i="3"/>
  <c r="Y116" i="3"/>
  <c r="Y52" i="3"/>
  <c r="Y85" i="3"/>
  <c r="Y97" i="3"/>
  <c r="Y104" i="3"/>
  <c r="Y105" i="3"/>
  <c r="Y112" i="3"/>
  <c r="Y57" i="3"/>
  <c r="Y43" i="3"/>
  <c r="Y79" i="3"/>
  <c r="Y34" i="3"/>
  <c r="Y101" i="3"/>
  <c r="Y93" i="3"/>
  <c r="Y49" i="3"/>
  <c r="Y107" i="3"/>
  <c r="Y119" i="3"/>
  <c r="Y114" i="3"/>
  <c r="Y121" i="3"/>
  <c r="Y100" i="3"/>
  <c r="Y26" i="3"/>
  <c r="Y67" i="3"/>
  <c r="V15" i="3"/>
  <c r="T15" i="3"/>
  <c r="W15" i="3" s="1"/>
  <c r="U15" i="3"/>
  <c r="X15" i="3" s="1"/>
  <c r="O110" i="3"/>
  <c r="O61" i="3"/>
  <c r="U61" i="3" s="1"/>
  <c r="N18" i="3"/>
  <c r="O92" i="3"/>
  <c r="L135" i="6"/>
  <c r="N135" i="6"/>
  <c r="O48" i="3"/>
  <c r="U45" i="3"/>
  <c r="X45" i="3" s="1"/>
  <c r="O106" i="3"/>
  <c r="T45" i="3"/>
  <c r="W45" i="3" s="1"/>
  <c r="O65" i="3"/>
  <c r="O82" i="3"/>
  <c r="O28" i="3"/>
  <c r="O84" i="3"/>
  <c r="N65" i="3"/>
  <c r="O31" i="3"/>
  <c r="O96" i="3"/>
  <c r="O55" i="3"/>
  <c r="O42" i="3"/>
  <c r="O27" i="3"/>
  <c r="O122" i="3"/>
  <c r="O53" i="3"/>
  <c r="O16" i="3"/>
  <c r="O10" i="3"/>
  <c r="U10" i="3" s="1"/>
  <c r="N73" i="3"/>
  <c r="Q69" i="3"/>
  <c r="R69" i="3"/>
  <c r="P69" i="3"/>
  <c r="P99" i="3"/>
  <c r="Q99" i="3"/>
  <c r="R99" i="3"/>
  <c r="P22" i="3"/>
  <c r="Q22" i="3"/>
  <c r="R22" i="3"/>
  <c r="R98" i="3"/>
  <c r="P98" i="3"/>
  <c r="Q98" i="3"/>
  <c r="P62" i="3"/>
  <c r="Q62" i="3"/>
  <c r="R62" i="3"/>
  <c r="P68" i="3"/>
  <c r="Q68" i="3"/>
  <c r="R68" i="3"/>
  <c r="P108" i="3"/>
  <c r="Q108" i="3"/>
  <c r="R108" i="3"/>
  <c r="P23" i="3"/>
  <c r="Q23" i="3"/>
  <c r="R23" i="3"/>
  <c r="P59" i="3"/>
  <c r="Q59" i="3"/>
  <c r="R59" i="3"/>
  <c r="P33" i="3"/>
  <c r="Q33" i="3"/>
  <c r="R33" i="3"/>
  <c r="P36" i="3"/>
  <c r="Q36" i="3"/>
  <c r="R36" i="3"/>
  <c r="Q61" i="3"/>
  <c r="R61" i="3"/>
  <c r="P61" i="3"/>
  <c r="R90" i="3"/>
  <c r="P90" i="3"/>
  <c r="Q90" i="3"/>
  <c r="N19" i="3"/>
  <c r="P115" i="3"/>
  <c r="Q115" i="3"/>
  <c r="R115" i="3"/>
  <c r="P103" i="3"/>
  <c r="Q103" i="3"/>
  <c r="R103" i="3"/>
  <c r="V45" i="3"/>
  <c r="P89" i="3"/>
  <c r="Q89" i="3"/>
  <c r="R89" i="3"/>
  <c r="Y94" i="3"/>
  <c r="P118" i="3"/>
  <c r="Q118" i="3"/>
  <c r="R118" i="3"/>
  <c r="Q13" i="3"/>
  <c r="R13" i="3"/>
  <c r="P13" i="3"/>
  <c r="R74" i="3"/>
  <c r="P74" i="3"/>
  <c r="Q74" i="3"/>
  <c r="P78" i="3"/>
  <c r="Q78" i="3"/>
  <c r="R78" i="3"/>
  <c r="Z45" i="3" l="1"/>
  <c r="Z15" i="3"/>
  <c r="T10" i="3"/>
  <c r="W10" i="3" s="1"/>
  <c r="S10" i="3"/>
  <c r="V10" i="3" s="1"/>
  <c r="Y15" i="3"/>
  <c r="T61" i="3"/>
  <c r="W61" i="3" s="1"/>
  <c r="N29" i="3"/>
  <c r="T65" i="3"/>
  <c r="O90" i="3"/>
  <c r="S31" i="3"/>
  <c r="V31" i="3" s="1"/>
  <c r="T31" i="3"/>
  <c r="W31" i="3" s="1"/>
  <c r="U31" i="3"/>
  <c r="X31" i="3" s="1"/>
  <c r="O62" i="3"/>
  <c r="O115" i="3"/>
  <c r="S42" i="3"/>
  <c r="V42" i="3" s="1"/>
  <c r="T42" i="3"/>
  <c r="W42" i="3" s="1"/>
  <c r="U42" i="3"/>
  <c r="X42" i="3" s="1"/>
  <c r="O103" i="3"/>
  <c r="P65" i="3"/>
  <c r="Q65" i="3"/>
  <c r="R65" i="3"/>
  <c r="U65" i="3"/>
  <c r="S65" i="3"/>
  <c r="T92" i="3"/>
  <c r="W92" i="3" s="1"/>
  <c r="U92" i="3"/>
  <c r="X92" i="3" s="1"/>
  <c r="S92" i="3"/>
  <c r="V92" i="3" s="1"/>
  <c r="P73" i="3"/>
  <c r="Q73" i="3"/>
  <c r="R73" i="3"/>
  <c r="O78" i="3"/>
  <c r="O74" i="3"/>
  <c r="S53" i="3"/>
  <c r="V53" i="3" s="1"/>
  <c r="U53" i="3"/>
  <c r="X53" i="3" s="1"/>
  <c r="T53" i="3"/>
  <c r="W53" i="3" s="1"/>
  <c r="S106" i="3"/>
  <c r="V106" i="3" s="1"/>
  <c r="T106" i="3"/>
  <c r="W106" i="3" s="1"/>
  <c r="U106" i="3"/>
  <c r="X106" i="3" s="1"/>
  <c r="S27" i="3"/>
  <c r="V27" i="3" s="1"/>
  <c r="U27" i="3"/>
  <c r="X27" i="3" s="1"/>
  <c r="T27" i="3"/>
  <c r="W27" i="3" s="1"/>
  <c r="O99" i="3"/>
  <c r="U16" i="3"/>
  <c r="X16" i="3" s="1"/>
  <c r="T16" i="3"/>
  <c r="W16" i="3" s="1"/>
  <c r="S16" i="3"/>
  <c r="V16" i="3" s="1"/>
  <c r="O23" i="3"/>
  <c r="O89" i="3"/>
  <c r="O98" i="3"/>
  <c r="T55" i="3"/>
  <c r="W55" i="3" s="1"/>
  <c r="S55" i="3"/>
  <c r="V55" i="3" s="1"/>
  <c r="U55" i="3"/>
  <c r="X55" i="3" s="1"/>
  <c r="U84" i="3"/>
  <c r="X84" i="3" s="1"/>
  <c r="T84" i="3"/>
  <c r="W84" i="3" s="1"/>
  <c r="S84" i="3"/>
  <c r="V84" i="3" s="1"/>
  <c r="O33" i="3"/>
  <c r="O22" i="3"/>
  <c r="O13" i="3"/>
  <c r="S61" i="3"/>
  <c r="V61" i="3" s="1"/>
  <c r="O18" i="3"/>
  <c r="T18" i="3" s="1"/>
  <c r="O118" i="3"/>
  <c r="U122" i="3"/>
  <c r="X122" i="3" s="1"/>
  <c r="S122" i="3"/>
  <c r="V122" i="3" s="1"/>
  <c r="T122" i="3"/>
  <c r="W122" i="3" s="1"/>
  <c r="U96" i="3"/>
  <c r="X96" i="3" s="1"/>
  <c r="T96" i="3"/>
  <c r="W96" i="3" s="1"/>
  <c r="S96" i="3"/>
  <c r="V96" i="3" s="1"/>
  <c r="S28" i="3"/>
  <c r="V28" i="3" s="1"/>
  <c r="T28" i="3"/>
  <c r="W28" i="3" s="1"/>
  <c r="U28" i="3"/>
  <c r="X28" i="3" s="1"/>
  <c r="R18" i="3"/>
  <c r="P18" i="3"/>
  <c r="Q18" i="3"/>
  <c r="O59" i="3"/>
  <c r="O68" i="3"/>
  <c r="O73" i="3"/>
  <c r="T73" i="3" s="1"/>
  <c r="U48" i="3"/>
  <c r="X48" i="3" s="1"/>
  <c r="S48" i="3"/>
  <c r="V48" i="3" s="1"/>
  <c r="T48" i="3"/>
  <c r="W48" i="3" s="1"/>
  <c r="O36" i="3"/>
  <c r="S82" i="3"/>
  <c r="V82" i="3" s="1"/>
  <c r="T82" i="3"/>
  <c r="W82" i="3" s="1"/>
  <c r="U82" i="3"/>
  <c r="X82" i="3" s="1"/>
  <c r="S110" i="3"/>
  <c r="V110" i="3" s="1"/>
  <c r="U110" i="3"/>
  <c r="X110" i="3" s="1"/>
  <c r="T110" i="3"/>
  <c r="W110" i="3" s="1"/>
  <c r="O108" i="3"/>
  <c r="O69" i="3"/>
  <c r="O19" i="3"/>
  <c r="S19" i="3" s="1"/>
  <c r="O29" i="3"/>
  <c r="Y45" i="3"/>
  <c r="X10" i="3"/>
  <c r="P19" i="3"/>
  <c r="Q19" i="3"/>
  <c r="R19" i="3"/>
  <c r="X61" i="3"/>
  <c r="Z96" i="3" l="1"/>
  <c r="Z61" i="3"/>
  <c r="Z28" i="3"/>
  <c r="Z110" i="3"/>
  <c r="Z42" i="3"/>
  <c r="Z55" i="3"/>
  <c r="Z84" i="3"/>
  <c r="Z53" i="3"/>
  <c r="Z82" i="3"/>
  <c r="Z122" i="3"/>
  <c r="Z27" i="3"/>
  <c r="Z48" i="3"/>
  <c r="Z16" i="3"/>
  <c r="Z10" i="3"/>
  <c r="Z106" i="3"/>
  <c r="Z92" i="3"/>
  <c r="Z31" i="3"/>
  <c r="Y96" i="3"/>
  <c r="U19" i="3"/>
  <c r="X19" i="3" s="1"/>
  <c r="Y106" i="3"/>
  <c r="W65" i="3"/>
  <c r="T19" i="3"/>
  <c r="W19" i="3" s="1"/>
  <c r="Y122" i="3"/>
  <c r="Y27" i="3"/>
  <c r="Y92" i="3"/>
  <c r="U18" i="3"/>
  <c r="X18" i="3" s="1"/>
  <c r="Y110" i="3"/>
  <c r="Y48" i="3"/>
  <c r="Y31" i="3"/>
  <c r="Y55" i="3"/>
  <c r="Y16" i="3"/>
  <c r="Y42" i="3"/>
  <c r="S18" i="3"/>
  <c r="V18" i="3" s="1"/>
  <c r="P29" i="3"/>
  <c r="P5" i="3" s="1"/>
  <c r="R29" i="3"/>
  <c r="R5" i="3" s="1"/>
  <c r="Q29" i="3"/>
  <c r="Q5" i="3" s="1"/>
  <c r="W73" i="3"/>
  <c r="S23" i="3"/>
  <c r="V23" i="3" s="1"/>
  <c r="U23" i="3"/>
  <c r="X23" i="3" s="1"/>
  <c r="T23" i="3"/>
  <c r="W23" i="3" s="1"/>
  <c r="S74" i="3"/>
  <c r="V74" i="3" s="1"/>
  <c r="T74" i="3"/>
  <c r="W74" i="3" s="1"/>
  <c r="U74" i="3"/>
  <c r="X74" i="3" s="1"/>
  <c r="T62" i="3"/>
  <c r="W62" i="3" s="1"/>
  <c r="U62" i="3"/>
  <c r="X62" i="3" s="1"/>
  <c r="S62" i="3"/>
  <c r="V62" i="3" s="1"/>
  <c r="Y82" i="3"/>
  <c r="Y28" i="3"/>
  <c r="Y84" i="3"/>
  <c r="S108" i="3"/>
  <c r="V108" i="3" s="1"/>
  <c r="T108" i="3"/>
  <c r="W108" i="3" s="1"/>
  <c r="U108" i="3"/>
  <c r="X108" i="3" s="1"/>
  <c r="S36" i="3"/>
  <c r="V36" i="3" s="1"/>
  <c r="T36" i="3"/>
  <c r="W36" i="3" s="1"/>
  <c r="U36" i="3"/>
  <c r="X36" i="3" s="1"/>
  <c r="S103" i="3"/>
  <c r="V103" i="3" s="1"/>
  <c r="T103" i="3"/>
  <c r="W103" i="3" s="1"/>
  <c r="U103" i="3"/>
  <c r="X103" i="3" s="1"/>
  <c r="Y53" i="3"/>
  <c r="U22" i="3"/>
  <c r="X22" i="3" s="1"/>
  <c r="T22" i="3"/>
  <c r="W22" i="3" s="1"/>
  <c r="S22" i="3"/>
  <c r="V22" i="3" s="1"/>
  <c r="S78" i="3"/>
  <c r="V78" i="3" s="1"/>
  <c r="T78" i="3"/>
  <c r="W78" i="3" s="1"/>
  <c r="U78" i="3"/>
  <c r="X78" i="3" s="1"/>
  <c r="U68" i="3"/>
  <c r="X68" i="3" s="1"/>
  <c r="S68" i="3"/>
  <c r="V68" i="3" s="1"/>
  <c r="T68" i="3"/>
  <c r="W68" i="3" s="1"/>
  <c r="S13" i="3"/>
  <c r="V13" i="3" s="1"/>
  <c r="T13" i="3"/>
  <c r="W13" i="3" s="1"/>
  <c r="U13" i="3"/>
  <c r="X13" i="3" s="1"/>
  <c r="T59" i="3"/>
  <c r="W59" i="3" s="1"/>
  <c r="U59" i="3"/>
  <c r="X59" i="3" s="1"/>
  <c r="S59" i="3"/>
  <c r="V59" i="3" s="1"/>
  <c r="S118" i="3"/>
  <c r="V118" i="3" s="1"/>
  <c r="U118" i="3"/>
  <c r="X118" i="3" s="1"/>
  <c r="T118" i="3"/>
  <c r="W118" i="3" s="1"/>
  <c r="T69" i="3"/>
  <c r="W69" i="3" s="1"/>
  <c r="U69" i="3"/>
  <c r="X69" i="3" s="1"/>
  <c r="S69" i="3"/>
  <c r="V69" i="3" s="1"/>
  <c r="T29" i="3"/>
  <c r="U29" i="3"/>
  <c r="S29" i="3"/>
  <c r="T33" i="3"/>
  <c r="W33" i="3" s="1"/>
  <c r="U33" i="3"/>
  <c r="X33" i="3" s="1"/>
  <c r="S33" i="3"/>
  <c r="V33" i="3" s="1"/>
  <c r="U73" i="3"/>
  <c r="X73" i="3" s="1"/>
  <c r="V65" i="3"/>
  <c r="T98" i="3"/>
  <c r="W98" i="3" s="1"/>
  <c r="U98" i="3"/>
  <c r="X98" i="3" s="1"/>
  <c r="S98" i="3"/>
  <c r="V98" i="3" s="1"/>
  <c r="U99" i="3"/>
  <c r="X99" i="3" s="1"/>
  <c r="S99" i="3"/>
  <c r="V99" i="3" s="1"/>
  <c r="T99" i="3"/>
  <c r="W99" i="3" s="1"/>
  <c r="S73" i="3"/>
  <c r="V73" i="3" s="1"/>
  <c r="X65" i="3"/>
  <c r="T90" i="3"/>
  <c r="W90" i="3" s="1"/>
  <c r="U90" i="3"/>
  <c r="X90" i="3" s="1"/>
  <c r="S90" i="3"/>
  <c r="V90" i="3" s="1"/>
  <c r="W18" i="3"/>
  <c r="U89" i="3"/>
  <c r="X89" i="3" s="1"/>
  <c r="S89" i="3"/>
  <c r="V89" i="3" s="1"/>
  <c r="T89" i="3"/>
  <c r="W89" i="3" s="1"/>
  <c r="S115" i="3"/>
  <c r="V115" i="3" s="1"/>
  <c r="T115" i="3"/>
  <c r="W115" i="3" s="1"/>
  <c r="U115" i="3"/>
  <c r="X115" i="3" s="1"/>
  <c r="Y10" i="3"/>
  <c r="Y61" i="3"/>
  <c r="V19" i="3"/>
  <c r="Z90" i="3" l="1"/>
  <c r="Z98" i="3"/>
  <c r="Z118" i="3"/>
  <c r="Z68" i="3"/>
  <c r="Z73" i="3"/>
  <c r="Z33" i="3"/>
  <c r="Z22" i="3"/>
  <c r="Z62" i="3"/>
  <c r="Z59" i="3"/>
  <c r="Z78" i="3"/>
  <c r="Z23" i="3"/>
  <c r="Z89" i="3"/>
  <c r="Z19" i="3"/>
  <c r="Z99" i="3"/>
  <c r="Z13" i="3"/>
  <c r="Z36" i="3"/>
  <c r="Z108" i="3"/>
  <c r="Z74" i="3"/>
  <c r="Z18" i="3"/>
  <c r="Z115" i="3"/>
  <c r="Z65" i="3"/>
  <c r="Z69" i="3"/>
  <c r="Z103" i="3"/>
  <c r="Y68" i="3"/>
  <c r="Y98" i="3"/>
  <c r="Y74" i="3"/>
  <c r="Y59" i="3"/>
  <c r="Y103" i="3"/>
  <c r="Y33" i="3"/>
  <c r="Y108" i="3"/>
  <c r="Y89" i="3"/>
  <c r="Y69" i="3"/>
  <c r="T5" i="3"/>
  <c r="Y78" i="3"/>
  <c r="Y23" i="3"/>
  <c r="Y118" i="3"/>
  <c r="V29" i="3"/>
  <c r="X29" i="3"/>
  <c r="X5" i="3" s="1"/>
  <c r="U5" i="3"/>
  <c r="W29" i="3"/>
  <c r="W5" i="3" s="1"/>
  <c r="S5" i="3"/>
  <c r="Y90" i="3"/>
  <c r="Y36" i="3"/>
  <c r="Y22" i="3"/>
  <c r="Y99" i="3"/>
  <c r="Y62" i="3"/>
  <c r="Y65" i="3"/>
  <c r="Y73" i="3"/>
  <c r="Y13" i="3"/>
  <c r="Y18" i="3"/>
  <c r="Y115" i="3"/>
  <c r="Y19" i="3"/>
  <c r="V5" i="3" l="1"/>
  <c r="Z5" i="3" s="1"/>
  <c r="Z29" i="3"/>
  <c r="Y29" i="3"/>
  <c r="Y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tc={A526FDCF-488D-4607-9FC2-9B638DA79EF9}</author>
    <author>Elina Dace</author>
    <author>tc={FA601C5C-F5CD-4923-AF90-9668BC0E159C}</author>
  </authors>
  <commentList>
    <comment ref="AB5" authorId="0" shapeId="0" xr:uid="{A526FDCF-488D-4607-9FC2-9B638DA79EF9}">
      <text>
        <t>[Threaded comment]
Your version of Excel allows you to read this threaded comment; however, any edits to it will get removed if the file is opened in a newer version of Excel. Learn more: https://go.microsoft.com/fwlink/?linkid=870924
Comment:
    Atkritumu apsaimniekošanas valsts plāns 2021. – 2028.gadam, VARAM, 2021 (Ministru kabineta 2021. gada 22. janvāra rīkojums Nr. 45)</t>
      </text>
    </comment>
    <comment ref="A6" authorId="1" shapeId="0" xr:uid="{42CE5C1B-DAEE-4667-BCCE-E5B81A00D953}">
      <text>
        <r>
          <rPr>
            <b/>
            <sz val="9"/>
            <color indexed="81"/>
            <rFont val="Tahoma"/>
            <family val="2"/>
          </rPr>
          <t>Elina Dace:</t>
        </r>
        <r>
          <rPr>
            <sz val="9"/>
            <color indexed="81"/>
            <rFont val="Tahoma"/>
            <family val="2"/>
          </rPr>
          <t xml:space="preserve">
Atsevišķi sniegts aprēķins Rīgas četru zonu griezumā - skat. tabulas beigās</t>
        </r>
      </text>
    </comment>
    <comment ref="AB6" authorId="2" shapeId="0" xr:uid="{FA601C5C-F5CD-4923-AF90-9668BC0E159C}">
      <text>
        <t>[Threaded comment]
Your version of Excel allows you to read this threaded comment; however, any edits to it will get removed if the file is opened in a newer version of Excel. Learn more: https://go.microsoft.com/fwlink/?linkid=870924
Comment:
    Atkritumu apsaimniekošanas valsts plāns 2021. – 2028.gadam, VARAM, 2021 (Ministru kabineta 2021. gada 22. janvāra rīkojums Nr. 45)</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DefaultAppPool</author>
  </authors>
  <commentList>
    <comment ref="B58" authorId="0" shapeId="0" xr:uid="{00000000-0006-0000-0000-000001000000}">
      <text>
        <r>
          <rPr>
            <sz val="8"/>
            <color rgb="FF000000"/>
            <rFont val="Tahoma"/>
            <family val="2"/>
          </rPr>
          <t xml:space="preserve">Līdz 14.02.2010. Valmieras novads.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tc={68BA7D86-EDDE-402A-A208-151040A4FB1C}</author>
    <author>tc={064ED312-945A-49E9-BF0A-4BAFD6CE128C}</author>
    <author>tc={720E2BB3-AB1A-48EC-8042-5988A0416ED7}</author>
    <author>tc={D5861D87-49C6-42F7-86B0-8242E2D663C7}</author>
  </authors>
  <commentList>
    <comment ref="R2" authorId="0" shapeId="0" xr:uid="{68BA7D86-EDDE-402A-A208-151040A4FB1C}">
      <text>
        <t>[Threaded comment]
Your version of Excel allows you to read this threaded comment; however, any edits to it will get removed if the file is opened in a newer version of Excel. Learn more: https://go.microsoft.com/fwlink/?linkid=870924
Comment:
    https://stat.gov.lv/lv/metadati/2403-iekszemes-kopprodukts-un-kopeja-pievienota-vertiba-regionos</t>
      </text>
    </comment>
    <comment ref="A3" authorId="1" shapeId="0" xr:uid="{064ED312-945A-49E9-BF0A-4BAFD6CE128C}">
      <text>
        <t>[Threaded comment]
Your version of Excel allows you to read this threaded comment; however, any edits to it will get removed if the file is opened in a newer version of Excel. Learn more: https://go.microsoft.com/fwlink/?linkid=870924
Comment:
    Ar melnu - vērtības no izmantotā informācijas avota;
Ar zaļu - aprēķinātās vērtības</t>
      </text>
    </comment>
    <comment ref="A12" authorId="2" shapeId="0" xr:uid="{720E2BB3-AB1A-48EC-8042-5988A0416ED7}">
      <text>
        <t>[Threaded comment]
Your version of Excel allows you to read this threaded comment; however, any edits to it will get removed if the file is opened in a newer version of Excel. Learn more: https://go.microsoft.com/fwlink/?linkid=870924
Comment:
    Ar melnu - vērtības no izmantotā informācijas avota;
Ar zaļu - aprēķinātās vērtības</t>
      </text>
    </comment>
    <comment ref="A67" authorId="3" shapeId="0" xr:uid="{D5861D87-49C6-42F7-86B0-8242E2D663C7}">
      <text>
        <t>[Threaded comment]
Your version of Excel allows you to read this threaded comment; however, any edits to it will get removed if the file is opened in a newer version of Excel. Learn more: https://go.microsoft.com/fwlink/?linkid=870924
Comment:
    Ar melnu - vērtības no izmantotā informācijas avota;
Ar zaļu - aprēķinātās vērtības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tc={6D9AFF0D-1D92-4587-8436-346BC4ACED50}</author>
    <author>tc={4C7039AD-2B3B-4F68-A49D-53201D051C9E}</author>
    <author>tc={E1F08BA8-2DCB-47BD-AC91-64DDC59594B2}</author>
    <author>tc={F5E21229-3E9C-4C8E-A232-EAC11AC965B7}</author>
    <author>tc={4D8458C2-723A-4055-8E51-52039BDE8014}</author>
    <author>tc={970CF2AA-B237-46E4-A242-67B74047472E}</author>
    <author>Elina Dace</author>
  </authors>
  <commentList>
    <comment ref="B2" authorId="0" shapeId="0" xr:uid="{6D9AFF0D-1D92-4587-8436-346BC4ACED50}">
      <text>
        <t>[Threaded comment]
Your version of Excel allows you to read this threaded comment; however, any edits to it will get removed if the file is opened in a newer version of Excel. Learn more: https://go.microsoft.com/fwlink/?linkid=870924
Comment:
    https://www.varam.gov.lv/lv/informacija-par-43-jaunizveidojamam-pasvaldibam</t>
      </text>
    </comment>
    <comment ref="C3" authorId="1" shapeId="0" xr:uid="{4C7039AD-2B3B-4F68-A49D-53201D051C9E}">
      <text>
        <t>[Threaded comment]
Your version of Excel allows you to read this threaded comment; however, any edits to it will get removed if the file is opened in a newer version of Excel. Learn more: https://go.microsoft.com/fwlink/?linkid=870924
Comment:
    Ar zilu - dati no Atkritumu apsaimniekošanas valsts plāna 2021.- 2028.gadam 4.pielikuma, VARAM;
Ar zaļu - vidējā maksa pašvaldībās, kurās noteikti vairāki tarifi/darbojas atšķirīgi atkritumu apsaimniekošanas uzņēmumi</t>
      </text>
    </comment>
    <comment ref="L3" authorId="2" shapeId="0" xr:uid="{E1F08BA8-2DCB-47BD-AC91-64DDC59594B2}">
      <text>
        <t>[Threaded comment]
Your version of Excel allows you to read this threaded comment; however, any edits to it will get removed if the file is opened in a newer version of Excel. Learn more: https://go.microsoft.com/fwlink/?linkid=870924
Comment:
    https://www.vestnesis.lv/op/2017/103.9</t>
      </text>
    </comment>
    <comment ref="P4" authorId="3" shapeId="0" xr:uid="{F5E21229-3E9C-4C8E-A232-EAC11AC965B7}">
      <text>
        <t>[Threaded comment]
Your version of Excel allows you to read this threaded comment; however, any edits to it will get removed if the file is opened in a newer version of Excel. Learn more: https://go.microsoft.com/fwlink/?linkid=870924
Comment:
    Sabērtu, irdenu jauktu atkritumu blīvums atkarībā no sastāva ir robežās 100-200 kg/m3. Avots: Latvijas Vides aģentūra, ROKASGRĀMATA FAKTORU PIELIETOŠANAI SADZĪVES ATKRITUMU UZSKAITĒ, PĀREJOT NO TILPUMA UZ SVARA VIENĪBĀM, 2002.</t>
      </text>
    </comment>
    <comment ref="P5" authorId="4" shapeId="0" xr:uid="{4D8458C2-723A-4055-8E51-52039BDE8014}">
      <text>
        <t>[Threaded comment]
Your version of Excel allows you to read this threaded comment; however, any edits to it will get removed if the file is opened in a newer version of Excel. Learn more: https://go.microsoft.com/fwlink/?linkid=870924
Comment:
    400-500 kg/m3. Avots: Latvijas Vides aģentūra, ROKASGRĀMATA FAKTORU PIELIETOŠANAI SADZĪVES ATKRITUMU UZSKAITĒ, PĀREJOT NO TILPUMA UZ SVARA VIENĪBĀM, 2002.</t>
      </text>
    </comment>
    <comment ref="P6" authorId="5" shapeId="0" xr:uid="{970CF2AA-B237-46E4-A242-67B74047472E}">
      <text>
        <t>[Threaded comment]
Your version of Excel allows you to read this threaded comment; however, any edits to it will get removed if the file is opened in a newer version of Excel. Learn more: https://go.microsoft.com/fwlink/?linkid=870924
Comment:
    200-500 kg/m3. Avots: Latvijas Vides aģentūra, ROKASGRĀMATA FAKTORU PIELIETOŠANAI SADZĪVES ATKRITUMU UZSKAITĒ, PĀREJOT NO TILPUMA UZ SVARA VIENĪBĀM, 2002.</t>
      </text>
    </comment>
    <comment ref="I17" authorId="6" shapeId="0" xr:uid="{619F978D-2F58-4A81-B9C7-F60FBED08938}">
      <text>
        <r>
          <rPr>
            <b/>
            <sz val="9"/>
            <color indexed="81"/>
            <rFont val="Tahoma"/>
            <family val="2"/>
          </rPr>
          <t>Elina Dace:</t>
        </r>
        <r>
          <rPr>
            <sz val="9"/>
            <color indexed="81"/>
            <rFont val="Tahoma"/>
            <family val="2"/>
          </rPr>
          <t xml:space="preserve">
izcenojums ir spēkā, ja pasūta 10 m3 vienā reisā</t>
        </r>
      </text>
    </comment>
    <comment ref="C18" authorId="6" shapeId="0" xr:uid="{C0020BC2-F0E1-405D-B69F-FA0CA2908B2A}">
      <text>
        <r>
          <rPr>
            <b/>
            <sz val="9"/>
            <color indexed="81"/>
            <rFont val="Tahoma"/>
            <family val="2"/>
          </rPr>
          <t>Elina Dace:</t>
        </r>
        <r>
          <rPr>
            <sz val="9"/>
            <color indexed="81"/>
            <rFont val="Tahoma"/>
            <family val="2"/>
          </rPr>
          <t xml:space="preserve">
divi tarifi dažādos pagastos</t>
        </r>
      </text>
    </comment>
    <comment ref="C52" authorId="6" shapeId="0" xr:uid="{9C5B787B-7656-4345-98EA-A5A830CE436C}">
      <text>
        <r>
          <rPr>
            <b/>
            <sz val="9"/>
            <color indexed="81"/>
            <rFont val="Tahoma"/>
            <family val="2"/>
          </rPr>
          <t>Elina Dace:</t>
        </r>
        <r>
          <rPr>
            <sz val="9"/>
            <color indexed="81"/>
            <rFont val="Tahoma"/>
            <family val="2"/>
          </rPr>
          <t xml:space="preserve">
Vidējais tarifs 2021.gadā (mainījies trīs reizes)</t>
        </r>
      </text>
    </comment>
    <comment ref="C59" authorId="6" shapeId="0" xr:uid="{CC11D5A6-DA72-4E8D-A8AB-7EBA151C6C79}">
      <text>
        <r>
          <rPr>
            <b/>
            <sz val="9"/>
            <color indexed="81"/>
            <rFont val="Tahoma"/>
            <family val="2"/>
          </rPr>
          <t>Elina Dace:</t>
        </r>
        <r>
          <rPr>
            <sz val="9"/>
            <color indexed="81"/>
            <rFont val="Tahoma"/>
            <family val="2"/>
          </rPr>
          <t xml:space="preserve">
no 01.09.2021. mainās tarifs:https://www.jnku.lv/l/mainas-sadzives-atkritumu-apsaimniekosanas-tarifs/</t>
        </r>
      </text>
    </comment>
    <comment ref="G76" authorId="6" shapeId="0" xr:uid="{45CA1B57-7EBD-4B98-B791-BFA4DAD9F64A}">
      <text>
        <r>
          <rPr>
            <b/>
            <sz val="9"/>
            <color indexed="81"/>
            <rFont val="Tahoma"/>
            <family val="2"/>
          </rPr>
          <t>Elina Dace:</t>
        </r>
        <r>
          <rPr>
            <sz val="9"/>
            <color indexed="81"/>
            <rFont val="Tahoma"/>
            <family val="2"/>
          </rPr>
          <t xml:space="preserve">
No 2022.gada būs SIA “Madonas namsaimnieks”:
http://www.lubana.lv/index.php/lv/2015-04-07-17-02-45/jaunumi-novada/2546-par-turpmako-atkritumu-apsaimniekosanu</t>
        </r>
      </text>
    </comment>
    <comment ref="C78" authorId="6" shapeId="0" xr:uid="{EBF7579B-E069-42BE-A85E-10D609062BE2}">
      <text>
        <r>
          <rPr>
            <b/>
            <sz val="9"/>
            <color indexed="81"/>
            <rFont val="Tahoma"/>
            <family val="2"/>
          </rPr>
          <t>Elina Dace:</t>
        </r>
        <r>
          <rPr>
            <sz val="9"/>
            <color indexed="81"/>
            <rFont val="Tahoma"/>
            <family val="2"/>
          </rPr>
          <t xml:space="preserve">
Maksa par sadzīves atkritumu apsaimniekošanu tiek aprēķināta summējot maksu par sadzīves atkritumu savākšanu (pastāvīgā daļa) un to noglabāšanu (mainīgā daļa).
Pastāvīgā daļa:
Maksa par atkritumu viena kubikmetra savākšanu noteikta saskaņā ar Madonas novada pašvaldības otrajai atkritumu apsaimniekošanas zonai apstiprināto tarifu – 9.68 EUR/m3, papildus aprēķinot PVN.
Mainīgā daļa:
Maksa par atkritumu viena kubikmetra noglabāšanu tiek noteikta norēķinu periodā (mēnesī vai ceturksnī) Vidusdaugavas atkritumu apsaimniekošanas poligonā nodoto atkritumu kopējo svaru (tonnās) reizinot ar Sabiedrisko pakalpojumu regulatora apstiprināto atkritumu noglabāšanas tarifu Vidusdaugavas atkritumu apsaimniekošanas poligonā (77.87 EUR/t) un izdalot ar norēķinu periodā savākto atkritumu daudzumu (kubikmetros), papildus aprēķinot PVN.</t>
        </r>
      </text>
    </comment>
    <comment ref="F78" authorId="6" shapeId="0" xr:uid="{A8800A45-1479-4B30-BD37-44AF2E01F990}">
      <text>
        <r>
          <rPr>
            <b/>
            <sz val="9"/>
            <color indexed="81"/>
            <rFont val="Tahoma"/>
            <family val="2"/>
          </rPr>
          <t>Elina Dace:</t>
        </r>
        <r>
          <rPr>
            <sz val="9"/>
            <color indexed="81"/>
            <rFont val="Tahoma"/>
            <family val="2"/>
          </rPr>
          <t xml:space="preserve">
Kompostēšanas laukumā "Lindes", Aronas pag., Madonas nov., apsaimniekošanai pieņemamo atkritumu izcenojumi no 01.01.2021.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tc={FB6D376C-373A-4E4D-91EB-1B05E42A90A9}</author>
    <author>tc={C7B767B8-2CBB-42F8-B150-97A6C43431F3}</author>
    <author>tc={2491E2E3-5661-48A1-98BF-B85B005DE7CD}</author>
  </authors>
  <commentList>
    <comment ref="H5" authorId="0" shapeId="0" xr:uid="{FB6D376C-373A-4E4D-91EB-1B05E42A90A9}">
      <text>
        <t>[Threaded comment]
Your version of Excel allows you to read this threaded comment; however, any edits to it will get removed if the file is opened in a newer version of Excel. Learn more: https://go.microsoft.com/fwlink/?linkid=870924
Comment:
    Atļauts kompostēt bioloģiski noārdāmos organiskos atkritumus līdz 20 731 t/gadā</t>
      </text>
    </comment>
    <comment ref="H8" authorId="1" shapeId="0" xr:uid="{C7B767B8-2CBB-42F8-B150-97A6C43431F3}">
      <text>
        <t>[Threaded comment]
Your version of Excel allows you to read this threaded comment; however, any edits to it will get removed if the file is opened in a newer version of Excel. Learn more: https://go.microsoft.com/fwlink/?linkid=870924
Comment:
    Šobrīd kompostēšanas laukums netiek izmantots, jo BNA tiek ievietoti reģenerācijai bioreaktorā, tādējādi ražojot biogāzi.</t>
      </text>
    </comment>
    <comment ref="H9" authorId="2" shapeId="0" xr:uid="{2491E2E3-5661-48A1-98BF-B85B005DE7CD}">
      <text>
        <t>[Threaded comment]
Your version of Excel allows you to read this threaded comment; however, any edits to it will get removed if the file is opened in a newer version of Excel. Learn more: https://go.microsoft.com/fwlink/?linkid=870924
Comment:
    Tā kā BNA tiek nogādāti reģenerācijai uz bioenerģijas šūnu, laukums pašreiz tiek izmantots kā būvniecības, ražošanas un tādu sadzīves atkritumu, ko nevar mehanizēti šķirot pagaidu uzglabāšanai un šķirošanai. Pēc BNA anaerobās fermentācijas iekārtu izveidošanas kompostēšanas laukums tiks integrēts BNA apsaimniekošanas tehnoloģiskajā procesā kā sagatavotā komposta pēcapstrādes un nobriedināšanas zona.</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tc={BDDF505D-2EEB-497F-9D22-2F7916DE7089}</author>
    <author>Elina Dace</author>
    <author>tc={CC33C8B7-5C2B-4084-A190-A30FE19E0035}</author>
  </authors>
  <commentList>
    <comment ref="X5" authorId="0" shapeId="0" xr:uid="{BDDF505D-2EEB-497F-9D22-2F7916DE7089}">
      <text>
        <t>[Threaded comment]
Your version of Excel allows you to read this threaded comment; however, any edits to it will get removed if the file is opened in a newer version of Excel. Learn more: https://go.microsoft.com/fwlink/?linkid=870924
Comment:
    Atkritumu apsaimniekošanas valsts plāns 2021. – 2028.gadam, VARAM, 2021 (Ministru kabineta 2021. gada 22. janvāra rīkojums Nr. 45)</t>
      </text>
    </comment>
    <comment ref="A6" authorId="1" shapeId="0" xr:uid="{8E96EA50-804B-4041-9821-1D52801DC608}">
      <text>
        <r>
          <rPr>
            <b/>
            <sz val="9"/>
            <color indexed="81"/>
            <rFont val="Tahoma"/>
            <family val="2"/>
          </rPr>
          <t>Elina Dace:</t>
        </r>
        <r>
          <rPr>
            <sz val="9"/>
            <color indexed="81"/>
            <rFont val="Tahoma"/>
            <family val="2"/>
          </rPr>
          <t xml:space="preserve">
Atsevišķi sniegts aprēķins Rīgas četru zonu griezumā - skat. tabulas beigās</t>
        </r>
      </text>
    </comment>
    <comment ref="X6" authorId="2" shapeId="0" xr:uid="{CC33C8B7-5C2B-4084-A190-A30FE19E0035}">
      <text>
        <t>[Threaded comment]
Your version of Excel allows you to read this threaded comment; however, any edits to it will get removed if the file is opened in a newer version of Excel. Learn more: https://go.microsoft.com/fwlink/?linkid=870924
Comment:
    Atkritumu apsaimniekošanas valsts plāns 2021. – 2028.gadam, VARAM, 2021 (Ministru kabineta 2021. gada 22. janvāra rīkojums Nr. 45)</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tc={48EEF76A-59A7-4F35-991D-665CBC7463E8}</author>
  </authors>
  <commentList>
    <comment ref="C2" authorId="0" shapeId="0" xr:uid="{48EEF76A-59A7-4F35-991D-665CBC7463E8}">
      <text>
        <t>[Threaded comment]
Your version of Excel allows you to read this threaded comment; however, any edits to it will get removed if the file is opened in a newer version of Excel. Learn more: https://go.microsoft.com/fwlink/?linkid=870924
Comment:
    https://www.varam.gov.lv/lv/noteikumi-par-atkritumu-apsaimniekosanas-regioniem</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tc={527FF1DC-56B0-4B84-94E0-01F22DA0AFA5}</author>
  </authors>
  <commentList>
    <comment ref="D2" authorId="0" shapeId="0" xr:uid="{527FF1DC-56B0-4B84-94E0-01F22DA0AFA5}">
      <text>
        <t>[Threaded comment]
Your version of Excel allows you to read this threaded comment; however, any edits to it will get removed if the file is opened in a newer version of Excel. Learn more: https://go.microsoft.com/fwlink/?linkid=870924
Comment:
    https://www.varam.gov.lv/lv/noteikumi-par-atkritumu-apsaimniekosanas-regioniem</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AA3AEB4-A6A7-4BB8-A4A6-AD7FF26021D8}"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1747DC0B-85F9-4E0C-968A-F3F852FEC97B}" name="WorksheetConnection_Karte (2)!$I$1:$L$120" type="102" refreshedVersion="7" minRefreshableVersion="5">
    <extLst>
      <ext xmlns:x15="http://schemas.microsoft.com/office/spreadsheetml/2010/11/main" uri="{DE250136-89BD-433C-8126-D09CA5730AF9}">
        <x15:connection id="Range">
          <x15:rangePr sourceName="_xlcn.WorksheetConnection_Karte2I1L1201"/>
        </x15:connection>
      </ext>
    </extLst>
  </connection>
</connections>
</file>

<file path=xl/sharedStrings.xml><?xml version="1.0" encoding="utf-8"?>
<sst xmlns="http://schemas.openxmlformats.org/spreadsheetml/2006/main" count="2907" uniqueCount="531">
  <si>
    <t>Iedzīvotāju skaits</t>
  </si>
  <si>
    <t>Rīga</t>
  </si>
  <si>
    <t>Daugavpils</t>
  </si>
  <si>
    <t>Jēkabpils</t>
  </si>
  <si>
    <t>Jūrmala</t>
  </si>
  <si>
    <t>Jelgava</t>
  </si>
  <si>
    <t>Liepāja</t>
  </si>
  <si>
    <t>Rēzekne</t>
  </si>
  <si>
    <t>Valmiera</t>
  </si>
  <si>
    <t>Ventspils</t>
  </si>
  <si>
    <t>Aglonas novads</t>
  </si>
  <si>
    <t>Aizkraukles novads</t>
  </si>
  <si>
    <t>Aizputes novads</t>
  </si>
  <si>
    <t>Aknīstes novads</t>
  </si>
  <si>
    <t>Alojas novads</t>
  </si>
  <si>
    <t>Alsungas novads</t>
  </si>
  <si>
    <t>Alūksnes novads</t>
  </si>
  <si>
    <t>Amatas novads</t>
  </si>
  <si>
    <t>Apes novads</t>
  </si>
  <si>
    <t>Auces novads</t>
  </si>
  <si>
    <t>Ādažu novads</t>
  </si>
  <si>
    <t>Babītes novads</t>
  </si>
  <si>
    <t>Baldones novads</t>
  </si>
  <si>
    <t>Baltinavas novads</t>
  </si>
  <si>
    <t>Balvu novads</t>
  </si>
  <si>
    <t>Bauskas novads</t>
  </si>
  <si>
    <t>Beverīnas novads</t>
  </si>
  <si>
    <t>Brocēnu novads</t>
  </si>
  <si>
    <t>Burtnieku novads</t>
  </si>
  <si>
    <t>Carnikavas novads</t>
  </si>
  <si>
    <t>Cesvaines novads</t>
  </si>
  <si>
    <t>Cēsu novads</t>
  </si>
  <si>
    <t>Ciblas novads</t>
  </si>
  <si>
    <t>Dagdas novads</t>
  </si>
  <si>
    <t>Daugavpils novads</t>
  </si>
  <si>
    <t>Dobeles novads</t>
  </si>
  <si>
    <t>Dundagas novads</t>
  </si>
  <si>
    <t>Durbes novads</t>
  </si>
  <si>
    <t>Engures novads</t>
  </si>
  <si>
    <t>Ērgļu novads</t>
  </si>
  <si>
    <t>Garkalnes novads</t>
  </si>
  <si>
    <t>Grobiņas novads</t>
  </si>
  <si>
    <t>Gulbenes novads</t>
  </si>
  <si>
    <t>Iecavas novads</t>
  </si>
  <si>
    <t>Ikšķiles novads</t>
  </si>
  <si>
    <t>Ilūkstes novads</t>
  </si>
  <si>
    <t>Inčukalna novads</t>
  </si>
  <si>
    <t>Jaunjelgavas novads</t>
  </si>
  <si>
    <t>Jaunpiebalgas novads</t>
  </si>
  <si>
    <t>Jaunpils novads</t>
  </si>
  <si>
    <t>Jelgavas novads</t>
  </si>
  <si>
    <t>Jēkabpils novads</t>
  </si>
  <si>
    <t>Kandavas novads</t>
  </si>
  <si>
    <t>Kārsavas novads</t>
  </si>
  <si>
    <t>Kocēnu novads</t>
  </si>
  <si>
    <t>Kokneses novads</t>
  </si>
  <si>
    <t>Krāslavas novads</t>
  </si>
  <si>
    <t>Krimuldas novads</t>
  </si>
  <si>
    <t>Krustpils novads</t>
  </si>
  <si>
    <t>Kuldīgas novads</t>
  </si>
  <si>
    <t>Ķeguma novads</t>
  </si>
  <si>
    <t>Ķekavas novads</t>
  </si>
  <si>
    <t>Lielvārdes novads</t>
  </si>
  <si>
    <t>Limbažu novads</t>
  </si>
  <si>
    <t>Līgatnes novads</t>
  </si>
  <si>
    <t>Līvānu novads</t>
  </si>
  <si>
    <t>Lubānas novads</t>
  </si>
  <si>
    <t>Ludzas novads</t>
  </si>
  <si>
    <t>Madonas novads</t>
  </si>
  <si>
    <t>Mazsalacas novads</t>
  </si>
  <si>
    <t>Mālpils novads</t>
  </si>
  <si>
    <t>Mārupes novads</t>
  </si>
  <si>
    <t>Mērsraga novads</t>
  </si>
  <si>
    <t>Naukšēnu novads</t>
  </si>
  <si>
    <t>Neretas novads</t>
  </si>
  <si>
    <t>Nīcas novads</t>
  </si>
  <si>
    <t>Ogres novads</t>
  </si>
  <si>
    <t>Olaines novads</t>
  </si>
  <si>
    <t>Ozolnieku novads</t>
  </si>
  <si>
    <t>Pārgaujas novads</t>
  </si>
  <si>
    <t>Pāvilostas novads</t>
  </si>
  <si>
    <t>Pļaviņu novads</t>
  </si>
  <si>
    <t>Preiļu novads</t>
  </si>
  <si>
    <t>Priekules novads</t>
  </si>
  <si>
    <t>Priekuļu novads</t>
  </si>
  <si>
    <t>Raunas novads</t>
  </si>
  <si>
    <t>Rēzeknes novads</t>
  </si>
  <si>
    <t>Riebiņu novads</t>
  </si>
  <si>
    <t>Rojas novads</t>
  </si>
  <si>
    <t>Ropažu novads</t>
  </si>
  <si>
    <t>Rucavas novads</t>
  </si>
  <si>
    <t>Rugāju novads</t>
  </si>
  <si>
    <t>Rundāles novads</t>
  </si>
  <si>
    <t>Rūjienas novads</t>
  </si>
  <si>
    <t>Salacgrīvas novads</t>
  </si>
  <si>
    <t>Salas novads</t>
  </si>
  <si>
    <t>Salaspils novads</t>
  </si>
  <si>
    <t>Saldus novads</t>
  </si>
  <si>
    <t>Saulkrastu novads</t>
  </si>
  <si>
    <t>Sējas novads</t>
  </si>
  <si>
    <t>Siguldas novads</t>
  </si>
  <si>
    <t>Skrīveru novads</t>
  </si>
  <si>
    <t>Skrundas novads</t>
  </si>
  <si>
    <t>Smiltenes novads</t>
  </si>
  <si>
    <t>Stopiņu novads</t>
  </si>
  <si>
    <t>Strenču novads</t>
  </si>
  <si>
    <t>Talsu novads</t>
  </si>
  <si>
    <t>Tērvetes novads</t>
  </si>
  <si>
    <t>Tukuma novads</t>
  </si>
  <si>
    <t>Vaiņodes novads</t>
  </si>
  <si>
    <t>Valkas novads</t>
  </si>
  <si>
    <t>Varakļānu novads</t>
  </si>
  <si>
    <t>Vārkavas novads</t>
  </si>
  <si>
    <t>Vecpiebalgas novads</t>
  </si>
  <si>
    <t>Vecumnieku novads</t>
  </si>
  <si>
    <t>Ventspils novads</t>
  </si>
  <si>
    <t>Viesītes novads</t>
  </si>
  <si>
    <t>Viļakas novads</t>
  </si>
  <si>
    <t>Viļānu novads</t>
  </si>
  <si>
    <t>Zilupes novads</t>
  </si>
  <si>
    <t>https://data.stat.gov.lv/pxweb/lv/OSP_PUB/START__POP__IR__IRS/IRS030/table/tableViewLayout1/</t>
  </si>
  <si>
    <t>CENTRA RAJONS</t>
  </si>
  <si>
    <t>KURZEMES RAJONS</t>
  </si>
  <si>
    <t>LATGALES PRIEKŠPILSĒTA</t>
  </si>
  <si>
    <t>VIDZEMES PRIEKŠPILSĒTA</t>
  </si>
  <si>
    <t>ZEMGALES PRIEKŠPILSĒTA</t>
  </si>
  <si>
    <t>ZIEMEĻU RAJONS</t>
  </si>
  <si>
    <t>Kopā RĪGA</t>
  </si>
  <si>
    <t>Kopā</t>
  </si>
  <si>
    <t>Nav spēkā reģistrācija dzīvesvietā</t>
  </si>
  <si>
    <t>Dzīvesvietas reģistrēšana</t>
  </si>
  <si>
    <t>Dzīvesvietas deklarēšana</t>
  </si>
  <si>
    <t>Dzīvesvietas norādīšana</t>
  </si>
  <si>
    <t>Teritorija</t>
  </si>
  <si>
    <t>https://mvd.riga.lv/nozares/vides-parvalde/atkritumu-apsaimniekosana/</t>
  </si>
  <si>
    <t>Rīgas pilsēta 1.zona (Centra rajons un Latgales priekšpilsēta)</t>
  </si>
  <si>
    <t>Rīgas pilsēta 2.zona (Kurzemes rajons)</t>
  </si>
  <si>
    <t>Rīgas pilsēta 3.zona (Zemgales priekšpilsēta)</t>
  </si>
  <si>
    <t>Rīgas pilsēta 4.zona (Ziemeļu rajons un Vidzemes priekšpilsēta)</t>
  </si>
  <si>
    <t>CleanR</t>
  </si>
  <si>
    <t>Lautus</t>
  </si>
  <si>
    <t>Maksa, EUR/m3</t>
  </si>
  <si>
    <t>Informācijas avots</t>
  </si>
  <si>
    <t>Informācija par bioloģisko atkritumu apsaimniekošanu un/vai konteineru skaitu, apkalpoto iedzīvotāju skaitu</t>
  </si>
  <si>
    <t>Bioloģiskie atkritumi</t>
  </si>
  <si>
    <t>Maksa, EUR/t</t>
  </si>
  <si>
    <t>https://jumis.lv/wp-content/uploads/2021/03/JUMIS_pakalpojumu_cenradis_Malpils.pdf</t>
  </si>
  <si>
    <t>https://jumis.lv/wp-content/uploads/2021/03/JUMIS_pakalpojumu_cenradis_Sigulda.pdf</t>
  </si>
  <si>
    <t>https://www.krimulda.lv/atkritumu-apsaimniekosana/</t>
  </si>
  <si>
    <t>Atkritumu apsaimniekošanas uzņēmums</t>
  </si>
  <si>
    <t>SIA Zaao</t>
  </si>
  <si>
    <t>SIA Jumis</t>
  </si>
  <si>
    <t>https://www.zaao.lv/lv/privatpersonam/sadzives_atkritumu_maksa</t>
  </si>
  <si>
    <t>https://www.spaao.lv/lv/aktualitates/noslegt-ligumu-par-sa-izvesanu/aicinam-fiziskas-un-juridiskas-personas-parslegt-ligumus-par-sadzives-atkritumu-apsaimniekosanu-jekabpils-novada-/</t>
  </si>
  <si>
    <t>Vidusdaugavas SPAAO</t>
  </si>
  <si>
    <t>Pierīga</t>
  </si>
  <si>
    <t>Dienvidlatgale</t>
  </si>
  <si>
    <t>Zemgale</t>
  </si>
  <si>
    <t>Vidusdaugava</t>
  </si>
  <si>
    <t>Piejūra</t>
  </si>
  <si>
    <t>Austrumlatgale</t>
  </si>
  <si>
    <t>Ziemeļvidzeme</t>
  </si>
  <si>
    <t xml:space="preserve">Ventspils </t>
  </si>
  <si>
    <t>Preiļu</t>
  </si>
  <si>
    <t>Aizkraukle</t>
  </si>
  <si>
    <t>Maliena</t>
  </si>
  <si>
    <t>Saldus</t>
  </si>
  <si>
    <t>pierīga</t>
  </si>
  <si>
    <t>Salaspils</t>
  </si>
  <si>
    <t>Novads pirms reformas</t>
  </si>
  <si>
    <t>Novads pēc reformas</t>
  </si>
  <si>
    <t>Augšdaugavas</t>
  </si>
  <si>
    <t>Ādažu</t>
  </si>
  <si>
    <t>Bauskas</t>
  </si>
  <si>
    <t>Cēsu</t>
  </si>
  <si>
    <t>Balvu</t>
  </si>
  <si>
    <t>Dienvidkurzemes</t>
  </si>
  <si>
    <t>Dobeles</t>
  </si>
  <si>
    <t>Jelgavas</t>
  </si>
  <si>
    <t>Krāslavas</t>
  </si>
  <si>
    <t>Kuldīgas</t>
  </si>
  <si>
    <t>Ķekavas</t>
  </si>
  <si>
    <t>Limbažu</t>
  </si>
  <si>
    <t>Ludzas</t>
  </si>
  <si>
    <t>Madonas</t>
  </si>
  <si>
    <t>Mārupes</t>
  </si>
  <si>
    <t>Ogres</t>
  </si>
  <si>
    <t>Rēzeknes</t>
  </si>
  <si>
    <t>Ropažu</t>
  </si>
  <si>
    <t>Saulkrastu</t>
  </si>
  <si>
    <t>Siguldas</t>
  </si>
  <si>
    <t>Smiltenes</t>
  </si>
  <si>
    <t>Talsu</t>
  </si>
  <si>
    <t>Tukuma</t>
  </si>
  <si>
    <t>Valmieras</t>
  </si>
  <si>
    <t>Olaines</t>
  </si>
  <si>
    <t>Alūksnes</t>
  </si>
  <si>
    <t>Gulbenes</t>
  </si>
  <si>
    <t>Līvānu</t>
  </si>
  <si>
    <t>Valkas</t>
  </si>
  <si>
    <t>Varakļānu</t>
  </si>
  <si>
    <t>Jēkabpils pakalpojumi</t>
  </si>
  <si>
    <t>https://www.jekabpils-pakalpojumi.lv/lv/pakalpojumi/atkritumu-apsaimniekosana/</t>
  </si>
  <si>
    <t>Jēkabpils ir viena no pirmajām pilsētām, kurā šogad tika uzsākta bioloģisko atkritumu šķirošanas sistēmas ieviešana. Šobrīd Jēkabpilī daudzstāvu māju rajonos ir uzstādīti 18 BIO konteineri, tādējādi nodrošinot bioloģisko atkritumu šķirošanas iespējas 53 daudzstāvu māju iedzīvotājiem.
SIA “Jēkabpils pakalpojumi” pakāpeniski turpinās bioloģiski noārdāmo atkritumu dalītās vākšanas sistēmas ieviešanu pilsētā, tāpēc ja pie daudzstāvu mājas nav uzstādīts BIO konteineris, bet iedzīvotājiem ir vēlme šķirot, lūdzam iedzīvotājus sazināties ar mājas apsaimniekotāju, un ziņot par šāda konteinera nepieciešamību. Atgādinām, ka BIO atkritumus bez maksas var nodot arī atkritumu šķirošanas laukumā Zemgales ielā 24/1.</t>
  </si>
  <si>
    <t>https://www.jekabpils-pakalpojumi.lv/lv/aktualitates/atkritumu-savaksana-un-parvadasana/ka-mums-veicas-ar-biologiski-noardamo-atkritumu-skirosanu-/?origin=/lv/pakalpojumi/atkritumu-savaksana-un-parvadasana/</t>
  </si>
  <si>
    <t>SIA Ķilupe</t>
  </si>
  <si>
    <t>https://www.skriveri.lv/lv/par-atkritumu-apsaimniekosanu-jamaksa-vairak/</t>
  </si>
  <si>
    <t>SIA Pļaviņu Komunālie pakalpojumi</t>
  </si>
  <si>
    <t>https://www.plavinunovads.lv/lv/sabiedriba/atkritumu-tarifa-izmainas-plavinu-novada</t>
  </si>
  <si>
    <t>https://cleanr.lv/aktualitates/valdiba-un-saeima-lemusi-ka-jau-janvari-tiks-palielinats-dabas-resursu-nodoklis-par-neskirotu-atkritumu-apsaimniekosanu-palielinas-ari-tarifu-iedzivotajiem/</t>
  </si>
  <si>
    <t>EcoBaltia Vide</t>
  </si>
  <si>
    <t>https://www.ecobaltiavide.lv/blog/izmainas-sadzives-atkritumu-apsaimniekosanas-maksa-no-2021-gada-1-janvara/</t>
  </si>
  <si>
    <t>AS Daugavpils specializētais autotransporta uzņēmums</t>
  </si>
  <si>
    <t>https://www.specatu.lv/lv/informacija-klientiem</t>
  </si>
  <si>
    <t>https://www.eis.gov.lv/EKEIS/Supplier/Procurement/34641</t>
  </si>
  <si>
    <t>SIA Eko Kurzeme</t>
  </si>
  <si>
    <t>Vides pakalpojumu grupa</t>
  </si>
  <si>
    <t>https://vpgrupa.lv/lv/pakalpojumi/sadzives-atkritumu-apsaimniekosana/</t>
  </si>
  <si>
    <t>https://www.ekokurzeme.lv/files/privatmaju_iedzivotajiem_un_juridiskam_personam_liepajas_pilseta.docx</t>
  </si>
  <si>
    <t>https://www.ekokurzeme.lv/files/privatmaju_iedzivotajiem_un_juridiskam_personam_grobina.docx</t>
  </si>
  <si>
    <t>https://www.ekokurzeme.lv/files/privatmaju_iedzivotajiem_un_juridiskam_personam_aizpute.docx</t>
  </si>
  <si>
    <t>https://www.ekokurzeme.lv/files/privatmaju_iedzivotajiem_un_juridiskam_personam_pavilosta.docx</t>
  </si>
  <si>
    <t>https://www.ekokurzeme.lv/lv/pakalpojumi/liguma-slegsana-skrunda/ek_ligums-skrunda/</t>
  </si>
  <si>
    <t>https://www.ekokurzeme.lv/lv/pakalpojumi/ligumu-slegsana-brocenu-novada/ek_ligums-broceni/</t>
  </si>
  <si>
    <t>https://www.ekokurzeme.lv/files/privatmaju_un_juridisko_personu_sa_saldus_ligums_(1).docx</t>
  </si>
  <si>
    <t>SIA Pilsētvides serviss</t>
  </si>
  <si>
    <t>https://www.pilsetvide.lv/lv/informacija-klientiem/aluksnes-novads</t>
  </si>
  <si>
    <t>https://www.pilsetvide.lv/lv/informacija-klientiem/gulbenes-novads</t>
  </si>
  <si>
    <t>https://www.pilsetvide.lv/lv/informacija-klientiem/cesvaines-novads</t>
  </si>
  <si>
    <t>https://www.pilsetvide.lv/lv/informacija-klientiem/erglu-novads</t>
  </si>
  <si>
    <t>https://www.pilsetvide.lv/lv/informacija-klientiem/balvu-novads</t>
  </si>
  <si>
    <t>https://www.livani.lv/lv/atkritumu-apsaimniekosana</t>
  </si>
  <si>
    <t>http://www.aadso.lv/index.php?option=com_content&amp;view=article&amp;id=138&amp;Itemid=121</t>
  </si>
  <si>
    <t>http://www.aadso.lv/index.php?option=com_content&amp;view=article&amp;id=144&amp;Itemid=128</t>
  </si>
  <si>
    <t>http://www.aadso.lv/index.php?option=com_content&amp;view=article&amp;id=142&amp;Itemid=60</t>
  </si>
  <si>
    <t>https://www.kkp.lv/pakalpojumi/atkritumu-apsaimniekosana/sadzives-atkritumi/</t>
  </si>
  <si>
    <t>https://ludzaps.lv/tarifi/</t>
  </si>
  <si>
    <t>http://alaas.lv/wp-content/uploads/2015/11/27.12.2018.valdes-lemums-Nr.3.pdf</t>
  </si>
  <si>
    <t>https://atkritumijkp.lv/pakalpojumi/sadzives-atkritumu-apsaimniekosana</t>
  </si>
  <si>
    <t>https://drive.google.com/file/d/1_19gJPErYiU31O7rXMoCRj8JhXoC3PvS/view</t>
  </si>
  <si>
    <t>http://vlk.lv/sanitaras-tirisanas-iecirknis/norekinu-tarifi-un-rekviziti/</t>
  </si>
  <si>
    <t>https://kegumastars.lv/sadzives-atkritumu-apsaimniekosanas-tarifa-izmainas-ar-01-01-2020</t>
  </si>
  <si>
    <t>https://www.vestnesis.lv/op/2021/139.14</t>
  </si>
  <si>
    <t>Bioloģiski noārdāmo atkritumu uzkrāšana tiek veikta speciālos brūnas krāsas plastmasas konteineros ar 660 litru tilpumu.
Bioatkritumi, pirms ievietošanas konteinerā, jāizņem no maisiņa vai jebkāda cita iepakojuma (pat no papīra iepakojuma).
Bioatkritumu konteineru izvešana notiek pēc klientu pieteikuma.
Cena par viena bioatkritumu konteinera izvešanu ir 10,00 EUR (t.sk. PVN).
Bioatkritumu konteinera nomas maksa ir 5,00 EUR/mēnesī (t.sk. PVN).</t>
  </si>
  <si>
    <t>https://www.kilupe.lv/pakalpojumi/skiroto-atkritumu-apsaimniekosana/bio-atkritumu-apsaimniekosana/</t>
  </si>
  <si>
    <t>SIA Vides Serviss</t>
  </si>
  <si>
    <t>http://www.videsserviss.lv/atkritumu-apsaimniekosanas-cenas</t>
  </si>
  <si>
    <t>https://www.dobeleskomunalie.lv/pakalpojumi/</t>
  </si>
  <si>
    <t>SIA «AAS «Piejūra»»</t>
  </si>
  <si>
    <t>https://piejuraatkritumi.lv/pakalpojumi/sadzives-atkritumu-apsaimniekosana/nsa-savaksanas-maksa/</t>
  </si>
  <si>
    <t>https://www.iecavasdzks.lv/index.php?id=97</t>
  </si>
  <si>
    <t>Pašvaldības SIA Garkalnes Komunālserviss</t>
  </si>
  <si>
    <t>http://www.garkalnesks.lv/par-atkritumu-apsaimniekosanu/</t>
  </si>
  <si>
    <t>http://www.garkalnesks.lv/par-atkritumu-apsaimniekosanu/kompostetaju-registracija/</t>
  </si>
  <si>
    <t>Šodien mums ir piegādāti pirmie brūnie konteineri bioloģiski noārdāmo atkritumu savākšanai! Šīs nedēļas laikā uzsāksim to piegādi iedzīvotājiem, kas jau ir izteikuši interesi tos iegādāties vai nomāt.</t>
  </si>
  <si>
    <t>https://www.ekokurzeme.lv/lv/klientu-serviss/atkritumu-apsaimniekosanas-tarifi/</t>
  </si>
  <si>
    <t>Iedzīvotāji bioloģiskos atkritumus var vest uz poligonu "Brakšķi".
Maksa par bioloģiski noārdāmiem atkritumiem bez citu veidu piemaisījumiem - 23.40 EUR/t (bez PVN)</t>
  </si>
  <si>
    <t>http://www.komunalie.lv/services/biologisko-atkritumu-izvesana</t>
  </si>
  <si>
    <t>http://berzaunesku.lv/sadzives-atkritumi/</t>
  </si>
  <si>
    <t>https://madonams.lv/pakalpojumi/atkritumi/</t>
  </si>
  <si>
    <t>http://www.lubana.lv/index.php/lv/homepage-2/noderiga-informacija/161-atkritumu-izvesanas-grafiks</t>
  </si>
  <si>
    <t>http://www.pargaujasnovads.lv/?archive&amp;nid=4007&amp;yearID=2020&amp;monthID=12&amp;dayID=03</t>
  </si>
  <si>
    <t>https://kraslava.lv/iedzivotajiem/sadzives-atkritumu-apsaimniekosana/maksa-par-atkritumu-apsaimniekosanu</t>
  </si>
  <si>
    <t>AS Olaines ūdens un siltums</t>
  </si>
  <si>
    <t>http://www.ous.lv/lv/atkritumu_apsaimniekosana/tari/</t>
  </si>
  <si>
    <t>http://www.preilusaimnieks.lv/lv/pakalpojumi/atkritumu-apsaimniekosana/atkritumu-izvesanas-un-konteineru-izcenojumi/</t>
  </si>
  <si>
    <t>https://vilkme.lv/pakalpojumi/atkritumu-izvesana</t>
  </si>
  <si>
    <t>https://www.salasnovads.lv/lv/sia-vigants-/sia-vigants-pakalpojumi/</t>
  </si>
  <si>
    <t>SIA Varakļānu dzīvokļu komunālais uzņēmums</t>
  </si>
  <si>
    <t>SIA “Karšu izdevniecība Jāņa sēta” prognozētais iedzīvotāju skaits Latvijas novados 2030.gadā</t>
  </si>
  <si>
    <t>Līdz 14.02.2010. Valmieras novads.</t>
  </si>
  <si>
    <t>Kocēnu novads:</t>
  </si>
  <si>
    <t>Teritoriālā vienība:</t>
  </si>
  <si>
    <t>Līdz 2019. gadam dati publicēti pēc faktiskās dzīvesvietas, kopš 2020. gada pēc reģistrētās dzīvesvietas.</t>
  </si>
  <si>
    <t>&lt;A HREF= https://stat.gov.lv/lv/metadati/5911-iedzivotaju-skaits-un-galvenie-demografiskie-raditaji TARGET=_blank&gt;Metadati&lt;/A&gt;</t>
  </si>
  <si>
    <t>2016. gada trešajā ceturksnī realizējot projektu 'Teritoriālās statistikas (galvenokārt pilsētas) iegūšana', pārskatīts esošais algoritms iedzīvotāju teritoriālā izvietojuma - faktiskās dzīvesvietas aprēķināšanai. Algoritms papildināts, nodrošinot precīzāku iedzīvotāju skaita novērtējumu pagastos, novados, pilsētās un reģionos. Atbilstoši jaunajam algoritmam veikti pārrēķini rādītājiem uz 2016. gada sākumu.</t>
  </si>
  <si>
    <t>Sākot ar datiem par 2017. gadu, no pastāvīgo iedzīvotāju skaita tika izslēgtas personas, kuras savu dzīvesvietu deklarējušas darbavietā (Latvijā reģistrētā uzņēmumā), bet faktiski Latvijā nedzīvo, tāpēc rādītājā “Iedzīvotāju skaits gada sākumā” samazinājies iedzīvotāju skaits Mārupes novadā. Izmaiņas metodoloģijā ietekmēja arī Rīgas un Carnikavas iedzīvotāju skaitu, bet mazākā apmērā.</t>
  </si>
  <si>
    <t>Sakarā ar teritoriālo robežu precizēšanu starp Aizkraukles pagastu un Aizkraukli, Tīnūžu pagastu un Ikšķili un Salaspils pagastu un Salaspili iedzīvotāju skaits 2018. gada sākumā minētajās teritorijās pārrēķināts.</t>
  </si>
  <si>
    <t>LATVIJA</t>
  </si>
  <si>
    <t>Iedzīvotāju skaits gada sākumā</t>
  </si>
  <si>
    <t>2021</t>
  </si>
  <si>
    <t>2020</t>
  </si>
  <si>
    <t>2019</t>
  </si>
  <si>
    <t>2018</t>
  </si>
  <si>
    <t>2017</t>
  </si>
  <si>
    <t>2016</t>
  </si>
  <si>
    <t>2015</t>
  </si>
  <si>
    <t>2014</t>
  </si>
  <si>
    <t>2013</t>
  </si>
  <si>
    <t>Jāņa sēta</t>
  </si>
  <si>
    <t>PROGNOZE</t>
  </si>
  <si>
    <t>Rīgas statistiskais reģions</t>
  </si>
  <si>
    <t>Pierīgas statistiskais reģions</t>
  </si>
  <si>
    <t>Kurzemes statistiskais reģions</t>
  </si>
  <si>
    <t>Vidzemes statistiskais reģions</t>
  </si>
  <si>
    <t>Zemgales statistiskais reģions</t>
  </si>
  <si>
    <t>Latgales statistiskais reģions</t>
  </si>
  <si>
    <t>https://data.stat.gov.lv/pxweb/lv/OSP_PUB/START__VEK__IK__IKR/IKR010/table/tableViewLayout1/</t>
  </si>
  <si>
    <t>https://data.stat.gov.lv/pxweb/lv/OSP_PUB/START__VEK__IK__IKP/IKP040/table/tableViewLayout1/</t>
  </si>
  <si>
    <t>https://data.stat.gov.lv/pxweb/lv/OSP_PUB/START__VEK__IK__IKP/IKP010/table/tableViewLayout1/</t>
  </si>
  <si>
    <t>https://data.stat.gov.lv/pxweb/lv/OSP_PUB/START__VEK__IK__IKP/IKP030/table/tableViewLayout1/</t>
  </si>
  <si>
    <t>2022</t>
  </si>
  <si>
    <t>2023</t>
  </si>
  <si>
    <t>IKP izmaiņa, %</t>
  </si>
  <si>
    <t>Latvijas Banka</t>
  </si>
  <si>
    <t>Iekšzemes kopprodukts, tūkst.EUR</t>
  </si>
  <si>
    <t>LATVIJA KOPĀ</t>
  </si>
  <si>
    <t>Pierīgas reģions</t>
  </si>
  <si>
    <t>Vidzemes reģions</t>
  </si>
  <si>
    <t>Kurzemes reģions</t>
  </si>
  <si>
    <t>Zemgales reģions</t>
  </si>
  <si>
    <t>Latgales reģions</t>
  </si>
  <si>
    <t>Latvijas iekšzemes kopprodukts no ražošanas aspekta, faktiskajās cenās, tūkst.EUR</t>
  </si>
  <si>
    <t>Reģionu iekšzemes kopprodukts no ražošanas aspekta, neskaitot pilsētu IKP, faktiskajās cenās, tūkst.EUR</t>
  </si>
  <si>
    <t>Statistiskais reģions</t>
  </si>
  <si>
    <t>Pilsēta/novads</t>
  </si>
  <si>
    <t>Row Labels</t>
  </si>
  <si>
    <t>Grand Total</t>
  </si>
  <si>
    <t>Sum of 2013</t>
  </si>
  <si>
    <t>Sum of 2014</t>
  </si>
  <si>
    <t>Sum of 2015</t>
  </si>
  <si>
    <t>Sum of 2016</t>
  </si>
  <si>
    <t>Sum of 2017</t>
  </si>
  <si>
    <t>Sum of 2018</t>
  </si>
  <si>
    <t>Sum of 2019</t>
  </si>
  <si>
    <t>Sum of 2020</t>
  </si>
  <si>
    <t>Sum of 2021</t>
  </si>
  <si>
    <t>LV</t>
  </si>
  <si>
    <t>Sum of 2022</t>
  </si>
  <si>
    <t>Sum of 2023</t>
  </si>
  <si>
    <t>Radīto atkritumu daudzums, tonnas (APRĒĶINS)</t>
  </si>
  <si>
    <t>Vēsturiskais</t>
  </si>
  <si>
    <t>Aprēķinātais</t>
  </si>
  <si>
    <t>n/a</t>
  </si>
  <si>
    <t>Jauktu atkritumu blīvums pirms saspiešanas, kg/m3</t>
  </si>
  <si>
    <t>Pārtikas atkritumu blīvums pirms saspiešanas, kg/m3</t>
  </si>
  <si>
    <t>Dārza atkritumu blīvums pirms saspiešanas, kg/m3</t>
  </si>
  <si>
    <t>Maksa par bioloģisko atkritumu apsaimniekošanu, EUR/t</t>
  </si>
  <si>
    <t>Pārtikas atkritumu īpatsvars nešķirotu mājsaimniecības atkritumu masā</t>
  </si>
  <si>
    <t>Bioloģisko atkritumu apsaimniekošanas maksa pret sadzīves atkritumu apsaimniekošanas maksu</t>
  </si>
  <si>
    <t>Bioloģisko atkritumu īpatsvars nešķirotu sadzīves atkritumu masā</t>
  </si>
  <si>
    <t>Izmantotie koeficienti</t>
  </si>
  <si>
    <t>Aknīstes novads 1</t>
  </si>
  <si>
    <t>Aknīstes novads 2</t>
  </si>
  <si>
    <t>Balvu novads 1</t>
  </si>
  <si>
    <t>Balvu novads 2</t>
  </si>
  <si>
    <t>Ķeguma novads 1</t>
  </si>
  <si>
    <t>Ķeguma novads 2</t>
  </si>
  <si>
    <t>Madonas novads 1</t>
  </si>
  <si>
    <t>Madonas novads 2</t>
  </si>
  <si>
    <t>Ogres novads 1</t>
  </si>
  <si>
    <t>Ogres novads 2</t>
  </si>
  <si>
    <t>Liepāja (Ziemeļu daļa)</t>
  </si>
  <si>
    <t>Liepāja (Dienvidu daļa)</t>
  </si>
  <si>
    <t>Pārmaksa 3 gados uz katru iedzīvotāju, EUR/iedz</t>
  </si>
  <si>
    <t>2021-2023</t>
  </si>
  <si>
    <t>Nešķiroti sadzīves atkritumi</t>
  </si>
  <si>
    <t>Pašvaldība</t>
  </si>
  <si>
    <t>SIA Atkritumu apsaimniekošanas Dienvidlatgales starppašvaldību organizācija</t>
  </si>
  <si>
    <t>SIA ALAAS</t>
  </si>
  <si>
    <t>SIA Marss</t>
  </si>
  <si>
    <t>SIA Jelgavas novada KU</t>
  </si>
  <si>
    <t>SIA Līvānu Dzīvokļu un komunālā saimniecība</t>
  </si>
  <si>
    <t>SIA Ludzas apsaimniekotajās</t>
  </si>
  <si>
    <t>SIA Vilkme</t>
  </si>
  <si>
    <t>Pilnsabiedrība JKP</t>
  </si>
  <si>
    <t>SIA Ventspils labiekārtošanas kombināts</t>
  </si>
  <si>
    <t>SIA Dobeles komunālie pakalpojumi</t>
  </si>
  <si>
    <t>SIA „Dzīvokļu komunālā saimniecība</t>
  </si>
  <si>
    <t>SIA Krāslavas nami</t>
  </si>
  <si>
    <t>SIA Kuldīgas komunālie pakalpojumi</t>
  </si>
  <si>
    <t>SIA Madonas namsaimnieks</t>
  </si>
  <si>
    <t>SIA Bērzaunes komunālais uzņēmums</t>
  </si>
  <si>
    <t>SIA „Preiļu saimnieks</t>
  </si>
  <si>
    <t>SIA Vīgants</t>
  </si>
  <si>
    <t>Sadzīves atkritumu maksa</t>
  </si>
  <si>
    <t>Pārrēķins EUR/m3 -&gt; EUR/t</t>
  </si>
  <si>
    <t>Bioloģisko atkritumu maksa</t>
  </si>
  <si>
    <t>Pievienotās vērtības nodoklis</t>
  </si>
  <si>
    <t>Atkritumu apsaimniekošanas maksa, t.sk. PVN, no 2021.gada 1.janvāra un atkritumu apsaimniekošanas pakalpojumu sniedzošais uzņēmums</t>
  </si>
  <si>
    <t>Avots: CSB, Iedzīvotāju skaits gada sākumā, tā izmaiņas un dabiskās kustības galvenie rādītāji reģionos, republikas pilsētās, novadu pilsētās un novados - Rādītāji, Teritoriālā vienība un Laika periods, https://data.stat.gov.lv/pxweb/lv/OSP_PUB/START__POP__IR__IRS/IRS030/table/tableViewLayout1/</t>
  </si>
  <si>
    <t>Platība, km2</t>
  </si>
  <si>
    <t>CSB</t>
  </si>
  <si>
    <t xml:space="preserve">Iedzīvotāju kopskaits statistiskajos reģionos gada sākumā: </t>
  </si>
  <si>
    <t>Iedzīvotāju īpatsvars Rīgas rajonos</t>
  </si>
  <si>
    <t xml:space="preserve">Iedzīvotāju skaits un tā sadalījums sešos Rīgas pilsētas rajonos </t>
  </si>
  <si>
    <t>Avots: https://data.europa.eu/data/datasets/593b3a12-c60d-4c7e-904b-312f876d7bb0?locale=lv</t>
  </si>
  <si>
    <t>RĪGA, 2021.gada 1.janvāris</t>
  </si>
  <si>
    <t>IKP faktiskajās cenās, tūkst.EUR</t>
  </si>
  <si>
    <t>APRĒĶINS, IZMANTOJOT VĒSTURISKOS DATUS PAR IKP UN IEDZ.SK.</t>
  </si>
  <si>
    <t>Latvijas IKP</t>
  </si>
  <si>
    <t>Iedz.skaits Latvijā</t>
  </si>
  <si>
    <t>https://www.makroekonomika.lv/latvijas-banka-parskata-latvijas-makroekonomiskas-prognozes-0</t>
  </si>
  <si>
    <t>CSB, IKP030. Iekšzemes kopprodukts no izlietojuma aspekta (tūkst. eiro)</t>
  </si>
  <si>
    <t>CSB, IKP040. Iekšzemes kopprodukts no ienākumu puses, faktiskajās cenās (tūkst. eiro)</t>
  </si>
  <si>
    <t>CSB, IKR010. Iekšzemes kopprodukts reģionos un republikas pilsētās (faktiskajās cenās) - Teritoriālā vienība, Rādītājs un Laika periods [no ražošanas aspekta]</t>
  </si>
  <si>
    <t>CSB, IKP010. Iekšzemes kopprodukts uz vienu iedzīvotāju</t>
  </si>
  <si>
    <t>IKP no izlietojuma aspekta, tūkst. eiro</t>
  </si>
  <si>
    <t>IKP no ienākumu puses, faktiskajās cenās, tūkst. eiro</t>
  </si>
  <si>
    <t>IKP no ražošanas aspekta (faktiskajās cenās), tūkst.EUR</t>
  </si>
  <si>
    <t>IKP uz vienu iedzīvotāju, EUR/ied</t>
  </si>
  <si>
    <t>VĒSTURISKIE DATI</t>
  </si>
  <si>
    <t>Saite</t>
  </si>
  <si>
    <t>CSB, Iedzīvotāju skaits gada sākumā, tā izmaiņas un dabiskās kustības galvenie rādītāji reģionos, republikas pilsētās, novadu pilsētās un novados - Rādītāji, Teritoriālā vienība un Laika periods,</t>
  </si>
  <si>
    <t>Pārbaude: aprēķina salīdzināšana ar Latvijas IKP</t>
  </si>
  <si>
    <t>Iedzīvotāju skaits pilsētās un statistiskajos reģionos gada sākumā</t>
  </si>
  <si>
    <t>IKP uz iedz pilsētās un reģionos, tūkst.EUR/iedz</t>
  </si>
  <si>
    <t>PILSĒTĀS UN STATISTISKAJOS REĢIONOS</t>
  </si>
  <si>
    <t>RĪGAS RAJONOS (ATKRITUMU APSAIMNIEKOŠANAS ZONĀS)</t>
  </si>
  <si>
    <t>IKP, tūkst.EUR</t>
  </si>
  <si>
    <t>Pārbaude: aprēķina salīdzināšana ar Rīgas IKP</t>
  </si>
  <si>
    <t xml:space="preserve"> </t>
  </si>
  <si>
    <t>Iekšzemes kopprodukts</t>
  </si>
  <si>
    <t>Iekšzemes kopprodukts pašvaldībās</t>
  </si>
  <si>
    <t>Radītais mājsaimniecības sadzīves atkritumu daudzums</t>
  </si>
  <si>
    <t>Radītais mājsaimniecības sadzīves atkritumu daudzums, tonnas</t>
  </si>
  <si>
    <t>IKP no izlietojuma aspekta, faktiskajās cenās, tūkst.EUR</t>
  </si>
  <si>
    <t>Radītais mājsaimniecības sadzīves atkritumu daudzums uz katru IKP euro, kg/EUR</t>
  </si>
  <si>
    <t>https://ec.europa.eu/eurostat/databrowser/view/env_wasmun/default/table?lang=en
https://www.meteo.lv/lapas/vide/atkritumi/atkritumu-statistikas-apkopojumi/atkritumu-statistikas-apkopojumi?id=1713&amp;nid=380</t>
  </si>
  <si>
    <t>Avots</t>
  </si>
  <si>
    <t>Radītais mājsaimniecības sadzīves atkritumu daudzums, tonnas/gadā</t>
  </si>
  <si>
    <t>Radītais mājsaimniecību bioloģisko atkritumu daudzums nešķirotu atkritumu masā, tonnas/gadā</t>
  </si>
  <si>
    <t>Nešķirotu sadzīves atkritumu apsaimniekošanas maksa ar PVN, EUR/t</t>
  </si>
  <si>
    <t>Bioloģisko atkritumu apsaimniekošanas maksa ar PVN, EUR/t</t>
  </si>
  <si>
    <t>Prognozētā summa, kas tiks samaksāta par nešķirotu sadzīves atkritumu apsaimniekošanu, neieviešot bioloģisko atkritumu šķirošanu, EUR</t>
  </si>
  <si>
    <t>Prognozētā summa, kas tiktu samaksāta par sadzīves atkritumu apsaimniekošanu, ieviešot bioloģisko atkritumu šķirošanu, EUR</t>
  </si>
  <si>
    <t>Potenciāli zaudētie ienākumi, EUR</t>
  </si>
  <si>
    <t>Potenciāli zaudētie ienākumi 3 gados kopā, EUR</t>
  </si>
  <si>
    <t>APRĒĶINS: Potenciāli zaudētie ienākumi</t>
  </si>
  <si>
    <t>Teritoriālā vienība</t>
  </si>
  <si>
    <t>Nešķirotu sadzīves atkritumu īpatsvars no kopējiem radītajiem sadzīves atkritumiem</t>
  </si>
  <si>
    <t>Citu bioloģisko (dārza) atkritumu īpatsvars nešķirotu mājsaimniecības atkritumu masā</t>
  </si>
  <si>
    <t>Latvia</t>
  </si>
  <si>
    <t>Valsts</t>
  </si>
  <si>
    <t>Novads</t>
  </si>
  <si>
    <t>AAR pirms reformas</t>
  </si>
  <si>
    <t>AAR pēc reformas</t>
  </si>
  <si>
    <t>Latgales</t>
  </si>
  <si>
    <t>Viduslatvijas</t>
  </si>
  <si>
    <t>Vidzemes</t>
  </si>
  <si>
    <t>Ziemeļkurzemes</t>
  </si>
  <si>
    <t>Dienvidkurzemes novads</t>
  </si>
  <si>
    <t>Valmieras novads</t>
  </si>
  <si>
    <t>Augšdaugavas novads</t>
  </si>
  <si>
    <t>IS_2021</t>
  </si>
  <si>
    <t>IS_2022</t>
  </si>
  <si>
    <t>IS_2023</t>
  </si>
  <si>
    <t>SA_2021</t>
  </si>
  <si>
    <t>SA_2022</t>
  </si>
  <si>
    <t>SA_2023</t>
  </si>
  <si>
    <t>BA_2021</t>
  </si>
  <si>
    <t>BA_2022</t>
  </si>
  <si>
    <t>BA_2023</t>
  </si>
  <si>
    <t>Sum of IS_2021</t>
  </si>
  <si>
    <t>Sum of IS_2022</t>
  </si>
  <si>
    <t>Sum of IS_2023</t>
  </si>
  <si>
    <t>Sum of SA_2021</t>
  </si>
  <si>
    <t>Sum of SA_2022</t>
  </si>
  <si>
    <t>Sum of SA_2023</t>
  </si>
  <si>
    <t>Sum of BA_2021</t>
  </si>
  <si>
    <t>Sum of BA_2022</t>
  </si>
  <si>
    <t>Sum of BA_2023</t>
  </si>
  <si>
    <t>Rīga visas zonas kopā</t>
  </si>
  <si>
    <t>Tonnas</t>
  </si>
  <si>
    <t>Projekta nosaukums</t>
  </si>
  <si>
    <t>Plānotās pārstrādes jaudas</t>
  </si>
  <si>
    <t>Projekta noslēguma laiks</t>
  </si>
  <si>
    <t>“Bioloģiski noārdāmo atkritumu pārstrādes iekārtu izveide poligonā “Cinīši””</t>
  </si>
  <si>
    <t>Plānotā pārstrādes neto jauda 18 500 tūkst. t/gadā (iekārtā ievietojamais BNA plūsmas apjoms ~ 19,0 tūkst. t/gadā, apglabājamie atkritumi pēc pārstrādes ~0,5 tūkst. t/gadā).</t>
  </si>
  <si>
    <t>Projekta noslēguma laiks: 31                Oktobris               2023</t>
  </si>
  <si>
    <t>Bioloģiski noārdāmo atkritumu pārstrādes iekārtas izveide poligonā “Getliņi”</t>
  </si>
  <si>
    <t>Plānotā pārstrādes neto jauda vismaz 100 000 tūkst. t/gadā (iekārtā ievietojamais BNA plūsmas apjoms 125 tūkst. t/gadā, apglabājamie atkritumi pēc pārstrādes ~25 tūkst. t/gadā).</t>
  </si>
  <si>
    <t>Projekta noslēguma laiks: 30                Septembris         2021</t>
  </si>
  <si>
    <t>"Divu fāzu sausās anaerobas fermentācijas sistēmas izveide poligonā “Ķīvītes” organisko atkritumu pārstrādei"</t>
  </si>
  <si>
    <t>21 000 t/gadā.</t>
  </si>
  <si>
    <t>Nav norādīts (nav detalizētas info KPVIS)</t>
  </si>
  <si>
    <t>“Tādu bioloģiski noārdāmo atkritumu pārstrādes iekārtu izveide poligonā “Brakšķi”, kas izmanto anaerobo pārstrādes metodi”</t>
  </si>
  <si>
    <t>Plānotā pārstrādes neto jauda 17 000 tūkst. t/gadā (iekārtā ievietojamais BNA plūsmas apjoms ~20.0 tūkst. t/gadā, apglabājamie atkritumi pēc pārstrādes ~3 tūkst. t/gadā).</t>
  </si>
  <si>
    <t>“Tādu bioloģiski noārdāmo atkritumu pārstrādes iekārtu izveide poligonā “Janvāri”, kas izmanto anaerobo pārstrādes metodi”</t>
  </si>
  <si>
    <t>Iekārtas tehnoloģiskais risinājums un pārstrādes jauda – nepārtrauktās plūsmas sausā anaerobā fermentācija, jauda (ievadītā) ~18500 tonnu gadā. Neto pārstrādes jauda vismaz 16 500 tonnas gadā.</t>
  </si>
  <si>
    <t>Bioloģiski noārdāmo atkritumu pārstrādes rūpnīcas "Daibe" izveide</t>
  </si>
  <si>
    <t>Plānotā BNA pārstrādes iekārtu kompleksa jauda 20 854 t/gadā (Iekārtā ievadītais atkritumu apjoms 29 693 t/gadā, apglabājamie atkritumi pēc pārstrādes 8 839 t/gadā.</t>
  </si>
  <si>
    <t>Projekta noslēguma laiks: 31                Decembris          2023</t>
  </si>
  <si>
    <t>Sum of 2030</t>
  </si>
  <si>
    <t>PIEŅĒMUMS</t>
  </si>
  <si>
    <t>IS_2030</t>
  </si>
  <si>
    <t>Pirms novadu reformas</t>
  </si>
  <si>
    <t>SA_2030</t>
  </si>
  <si>
    <t>BA_2030</t>
  </si>
  <si>
    <t>Sum of IS_2030</t>
  </si>
  <si>
    <t>Sum of IS_20212</t>
  </si>
  <si>
    <t>Sum of IS_20222</t>
  </si>
  <si>
    <t>Sum of IS_20232</t>
  </si>
  <si>
    <t>Sum of IS_20302</t>
  </si>
  <si>
    <t>Sum of SA_2030</t>
  </si>
  <si>
    <t>Sum of BA_2030</t>
  </si>
  <si>
    <t>SAP/RAAC</t>
  </si>
  <si>
    <t>SAP Ķīvītes</t>
  </si>
  <si>
    <t>SAP Cinīši</t>
  </si>
  <si>
    <t>RAAC Dziļā vāda</t>
  </si>
  <si>
    <t>RAAC Križevņiki</t>
  </si>
  <si>
    <t>SAP Getliņi</t>
  </si>
  <si>
    <t>SAP Brakšķi</t>
  </si>
  <si>
    <t>SAP Daibe</t>
  </si>
  <si>
    <t>RAAC Kaudzītes</t>
  </si>
  <si>
    <t>SAP Janvāri</t>
  </si>
  <si>
    <t>RAAC Pentuļi</t>
  </si>
  <si>
    <t>Atkritumu apsaimniekošanas reģioni no 2024.gada</t>
  </si>
  <si>
    <t>Nodots ekspluatācijā, gads</t>
  </si>
  <si>
    <t>Nodots/plānots nodot ekspluatācijā, gads/datums</t>
  </si>
  <si>
    <t>Uzstādītā un plānotā BA anaerobās pārstrādes neto jauda, tonnas/gadā</t>
  </si>
  <si>
    <t>Kompostēšanas laukumu pārstrādes jauda, tonnas/gadā</t>
  </si>
  <si>
    <t>30.09.2021</t>
  </si>
  <si>
    <t>31.10.2023</t>
  </si>
  <si>
    <t>31.12.2023</t>
  </si>
  <si>
    <t>2012</t>
  </si>
  <si>
    <t>Digestāta stabilizēšanai</t>
  </si>
  <si>
    <t>Kompostēšanas laukuma paredzētais izmantošanas mērķis</t>
  </si>
  <si>
    <t>BNA kompostēšanai</t>
  </si>
  <si>
    <t xml:space="preserve">Dalīti savākto BNA pārstrādei </t>
  </si>
  <si>
    <t>Zaļo dārzu un parku atkritumu kompostēšanai</t>
  </si>
  <si>
    <t xml:space="preserve">Mehāniski atdalīto un dalīti savākto BNA pārstrādei </t>
  </si>
  <si>
    <t>Dalīti savākto BNA pārstrādei/Digestāta stabilizēšanai</t>
  </si>
  <si>
    <t>Uzstādītās un plānotās bioloģisko atkritumu pārstrādes jaudas</t>
  </si>
  <si>
    <r>
      <t>Kompostēšanas laukuma platība, m</t>
    </r>
    <r>
      <rPr>
        <b/>
        <vertAlign val="superscript"/>
        <sz val="10"/>
        <color theme="1"/>
        <rFont val="Calibri"/>
        <family val="2"/>
        <scheme val="minor"/>
      </rPr>
      <t>2</t>
    </r>
  </si>
  <si>
    <t>AAR</t>
  </si>
  <si>
    <t>Atkritumu apsaimniekošanas reģioni līdz 2023.gada beigām</t>
  </si>
  <si>
    <t>SAP/RAAC kopējā BA pārstrādes neto jauda, tonnas/gadā</t>
  </si>
  <si>
    <t>AAR kopējā BA pārstrādes neto jauda, tonnas/gadā</t>
  </si>
  <si>
    <t>Radītais mājsaimniecības bioloģisko atkritumu daudzums 2030.gadā</t>
  </si>
  <si>
    <t>APRĒĶINS: Radītais mājsaimniecības bioloģisko atkritumu daudzums novados un AAR 2030.gadā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</si>
</sst>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7" x14ac:knownFonts="1">
    <font>
      <sz val="11"/>
      <color theme="1"/>
      <name val="Calibri"/>
      <family val="2"/>
      <charset val="186"/>
      <scheme val="minor"/>
    </font>
    <font>
      <sz val="10"/>
      <color rgb="FF000000"/>
      <name val="Times New Roman"/>
      <family val="1"/>
    </font>
    <font>
      <b/>
      <sz val="11"/>
      <color rgb="FF000000"/>
      <name val="Calibri"/>
      <family val="2"/>
    </font>
    <font>
      <u/>
      <sz val="11"/>
      <color theme="10"/>
      <name val="Calibri"/>
      <family val="2"/>
      <charset val="186"/>
      <scheme val="minor"/>
    </font>
    <font>
      <sz val="8"/>
      <name val="Calibri"/>
      <family val="2"/>
      <charset val="186"/>
      <scheme val="minor"/>
    </font>
    <font>
      <sz val="11"/>
      <color rgb="FFFF0000"/>
      <name val="Calibri"/>
      <family val="2"/>
      <charset val="186"/>
      <scheme val="minor"/>
    </font>
    <font>
      <b/>
      <sz val="11"/>
      <color theme="1"/>
      <name val="Calibri"/>
      <family val="2"/>
      <scheme val="minor"/>
    </font>
    <font>
      <sz val="11"/>
      <color rgb="FF000000"/>
      <name val="Calibri"/>
      <family val="2"/>
    </font>
    <font>
      <sz val="8"/>
      <color rgb="FF222222"/>
      <name val="Tahoma"/>
      <family val="2"/>
      <charset val="186"/>
    </font>
    <font>
      <sz val="11"/>
      <color rgb="FFFF0000"/>
      <name val="Calibri"/>
      <family val="2"/>
      <scheme val="minor"/>
    </font>
    <font>
      <sz val="9"/>
      <color indexed="81"/>
      <name val="Tahoma"/>
      <family val="2"/>
    </font>
    <font>
      <b/>
      <sz val="9"/>
      <color indexed="81"/>
      <name val="Tahoma"/>
      <family val="2"/>
    </font>
    <font>
      <sz val="11"/>
      <name val="Calibri"/>
      <family val="2"/>
      <charset val="186"/>
      <scheme val="minor"/>
    </font>
    <font>
      <sz val="11"/>
      <name val="Calibri"/>
      <family val="2"/>
    </font>
    <font>
      <sz val="11"/>
      <name val="Calibri"/>
      <family val="2"/>
      <scheme val="minor"/>
    </font>
    <font>
      <u/>
      <sz val="11"/>
      <name val="Calibri"/>
      <family val="2"/>
      <scheme val="minor"/>
    </font>
    <font>
      <sz val="11"/>
      <color rgb="FF00B0F0"/>
      <name val="Calibri"/>
      <family val="2"/>
      <charset val="186"/>
      <scheme val="minor"/>
    </font>
    <font>
      <sz val="11"/>
      <color rgb="FF000000"/>
      <name val="Calibri"/>
      <family val="2"/>
      <charset val="186"/>
      <scheme val="minor"/>
    </font>
    <font>
      <b/>
      <sz val="11"/>
      <color rgb="FF000000"/>
      <name val="Calibri"/>
      <family val="2"/>
      <charset val="186"/>
      <scheme val="minor"/>
    </font>
    <font>
      <b/>
      <sz val="11"/>
      <color theme="1"/>
      <name val="Calibri"/>
      <family val="2"/>
    </font>
    <font>
      <sz val="8"/>
      <color rgb="FF000000"/>
      <name val="Tahoma"/>
      <family val="2"/>
    </font>
    <font>
      <sz val="10"/>
      <color rgb="FF000000"/>
      <name val="Calibri"/>
      <family val="2"/>
      <scheme val="minor"/>
    </font>
    <font>
      <b/>
      <sz val="10"/>
      <color rgb="FF000000"/>
      <name val="Calibri"/>
      <family val="2"/>
      <scheme val="minor"/>
    </font>
    <font>
      <i/>
      <sz val="10"/>
      <color rgb="FF000000"/>
      <name val="Calibri"/>
      <family val="2"/>
      <scheme val="minor"/>
    </font>
    <font>
      <sz val="10"/>
      <color theme="1"/>
      <name val="Calibri"/>
      <family val="2"/>
      <scheme val="minor"/>
    </font>
    <font>
      <b/>
      <i/>
      <sz val="10"/>
      <color rgb="FF000000"/>
      <name val="Calibri"/>
      <family val="2"/>
      <scheme val="minor"/>
    </font>
    <font>
      <i/>
      <sz val="10"/>
      <color theme="1"/>
      <name val="Calibri"/>
      <family val="2"/>
      <scheme val="minor"/>
    </font>
    <font>
      <sz val="10"/>
      <color rgb="FF595959"/>
      <name val="Arial"/>
      <family val="2"/>
    </font>
    <font>
      <b/>
      <sz val="11"/>
      <color rgb="FF1D3234"/>
      <name val="Arial"/>
      <family val="2"/>
    </font>
    <font>
      <b/>
      <sz val="16"/>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11"/>
      <color rgb="FF7030A0"/>
      <name val="Calibri"/>
      <family val="2"/>
      <charset val="186"/>
      <scheme val="minor"/>
    </font>
    <font>
      <b/>
      <i/>
      <sz val="10"/>
      <color theme="1"/>
      <name val="Calibri"/>
      <family val="2"/>
      <scheme val="minor"/>
    </font>
    <font>
      <b/>
      <sz val="11"/>
      <color theme="1"/>
      <name val="Calibri"/>
      <family val="2"/>
      <charset val="186"/>
      <scheme val="minor"/>
    </font>
    <font>
      <sz val="11"/>
      <color theme="1"/>
      <name val="Calibri"/>
      <family val="2"/>
      <scheme val="minor"/>
    </font>
    <font>
      <sz val="11"/>
      <color rgb="FF00B050"/>
      <name val="Calibri"/>
      <family val="2"/>
      <charset val="186"/>
      <scheme val="minor"/>
    </font>
    <font>
      <b/>
      <sz val="20"/>
      <color theme="1"/>
      <name val="Calibri"/>
      <family val="2"/>
      <scheme val="minor"/>
    </font>
    <font>
      <b/>
      <sz val="20"/>
      <color rgb="FF000000"/>
      <name val="Calibri"/>
      <family val="2"/>
    </font>
    <font>
      <b/>
      <sz val="10"/>
      <color rgb="FF595959"/>
      <name val="Arial"/>
      <family val="2"/>
      <charset val="186"/>
    </font>
    <font>
      <sz val="11"/>
      <color rgb="FF0070C0"/>
      <name val="Calibri"/>
      <family val="2"/>
      <charset val="186"/>
      <scheme val="minor"/>
    </font>
    <font>
      <sz val="11"/>
      <color rgb="FF00B050"/>
      <name val="Calibri"/>
      <family val="2"/>
      <scheme val="minor"/>
    </font>
    <font>
      <b/>
      <sz val="14"/>
      <color rgb="FF00B050"/>
      <name val="Calibri"/>
      <family val="2"/>
      <scheme val="minor"/>
    </font>
    <font>
      <b/>
      <sz val="10"/>
      <color rgb="FF000000"/>
      <name val="Calibri"/>
      <family val="2"/>
    </font>
    <font>
      <sz val="12"/>
      <color rgb="FF222222"/>
      <name val="Roboto"/>
    </font>
    <font>
      <b/>
      <sz val="12"/>
      <color rgb="FFFFFFFF"/>
      <name val="Roboto"/>
    </font>
    <font>
      <sz val="12"/>
      <color rgb="FF000000"/>
      <name val="Roboto"/>
    </font>
    <font>
      <b/>
      <sz val="11"/>
      <color rgb="FF7030A0"/>
      <name val="Calibri"/>
      <family val="2"/>
      <charset val="186"/>
      <scheme val="minor"/>
    </font>
    <font>
      <b/>
      <sz val="11"/>
      <color rgb="FF7030A0"/>
      <name val="Calibri"/>
      <family val="2"/>
      <scheme val="minor"/>
    </font>
    <font>
      <sz val="11"/>
      <color rgb="FF7030A0"/>
      <name val="Calibri"/>
      <family val="2"/>
      <scheme val="minor"/>
    </font>
    <font>
      <b/>
      <sz val="10"/>
      <color rgb="FF7030A0"/>
      <name val="Calibri"/>
      <family val="2"/>
      <scheme val="minor"/>
    </font>
    <font>
      <sz val="10"/>
      <color rgb="FF7030A0"/>
      <name val="Calibri"/>
      <family val="2"/>
      <scheme val="minor"/>
    </font>
    <font>
      <i/>
      <sz val="10"/>
      <color rgb="FF7030A0"/>
      <name val="Calibri"/>
      <family val="2"/>
      <scheme val="minor"/>
    </font>
    <font>
      <b/>
      <sz val="10"/>
      <name val="Calibri"/>
      <family val="2"/>
    </font>
    <font>
      <b/>
      <vertAlign val="superscript"/>
      <sz val="10"/>
      <color theme="1"/>
      <name val="Calibri"/>
      <family val="2"/>
      <scheme val="minor"/>
    </font>
    <font>
      <b/>
      <sz val="12"/>
      <color rgb="FF000000"/>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4472C4"/>
        <bgColor indexed="64"/>
      </patternFill>
    </fill>
    <fill>
      <patternFill patternType="solid">
        <fgColor rgb="FFB4C6E7"/>
        <bgColor indexed="64"/>
      </patternFill>
    </fill>
    <fill>
      <patternFill patternType="solid">
        <fgColor rgb="FFD9E2F3"/>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style="medium">
        <color rgb="FFFFFFFF"/>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s>
  <cellStyleXfs count="4">
    <xf numFmtId="0" fontId="0" fillId="0" borderId="0"/>
    <xf numFmtId="0" fontId="1" fillId="0" borderId="0"/>
    <xf numFmtId="0" fontId="3" fillId="0" borderId="0" applyNumberFormat="0" applyFill="0" applyBorder="0" applyAlignment="0" applyProtection="0"/>
    <xf numFmtId="0" fontId="7" fillId="0" borderId="0" applyNumberFormat="0" applyBorder="0" applyAlignment="0"/>
  </cellStyleXfs>
  <cellXfs count="276">
    <xf numFmtId="0" fontId="0" fillId="0" borderId="0" xfId="0"/>
    <xf numFmtId="0" fontId="0" fillId="2" borderId="1" xfId="0" applyFill="1" applyBorder="1"/>
    <xf numFmtId="0" fontId="6" fillId="2" borderId="1" xfId="0" applyFont="1" applyFill="1" applyBorder="1" applyAlignment="1">
      <alignment wrapText="1"/>
    </xf>
    <xf numFmtId="0" fontId="0" fillId="3" borderId="1" xfId="0" applyFill="1" applyBorder="1"/>
    <xf numFmtId="0" fontId="0" fillId="3" borderId="0" xfId="0" applyFill="1"/>
    <xf numFmtId="0" fontId="6" fillId="3" borderId="1" xfId="0" applyFont="1" applyFill="1" applyBorder="1" applyAlignment="1">
      <alignment wrapText="1"/>
    </xf>
    <xf numFmtId="0" fontId="6" fillId="3" borderId="0" xfId="0" applyFont="1" applyFill="1" applyAlignment="1">
      <alignment wrapText="1"/>
    </xf>
    <xf numFmtId="0" fontId="2" fillId="3" borderId="1" xfId="0" applyFont="1" applyFill="1" applyBorder="1"/>
    <xf numFmtId="0" fontId="7" fillId="3" borderId="1" xfId="0" applyFont="1" applyFill="1" applyBorder="1"/>
    <xf numFmtId="0" fontId="3" fillId="3" borderId="1" xfId="2" applyFill="1" applyBorder="1"/>
    <xf numFmtId="2" fontId="0" fillId="3" borderId="1" xfId="0" applyNumberFormat="1" applyFill="1" applyBorder="1"/>
    <xf numFmtId="0" fontId="0" fillId="3" borderId="1" xfId="0" applyFill="1" applyBorder="1" applyAlignment="1"/>
    <xf numFmtId="2" fontId="1" fillId="3" borderId="1" xfId="1" applyNumberFormat="1" applyFill="1" applyBorder="1" applyAlignment="1">
      <alignment horizontal="left" vertical="top"/>
    </xf>
    <xf numFmtId="0" fontId="3" fillId="3" borderId="1" xfId="2" applyFill="1" applyBorder="1" applyAlignment="1">
      <alignment horizontal="left" vertical="top"/>
    </xf>
    <xf numFmtId="0" fontId="13" fillId="3" borderId="1" xfId="0" applyFont="1" applyFill="1" applyBorder="1"/>
    <xf numFmtId="0" fontId="14" fillId="3" borderId="1" xfId="0" applyFont="1" applyFill="1" applyBorder="1"/>
    <xf numFmtId="0" fontId="15" fillId="3" borderId="1" xfId="2" applyFont="1" applyFill="1" applyBorder="1"/>
    <xf numFmtId="0" fontId="9" fillId="3" borderId="0" xfId="0" applyFont="1" applyFill="1"/>
    <xf numFmtId="0" fontId="5" fillId="3" borderId="1" xfId="0" applyFont="1" applyFill="1" applyBorder="1"/>
    <xf numFmtId="0" fontId="6" fillId="3" borderId="1" xfId="0" applyFont="1" applyFill="1" applyBorder="1"/>
    <xf numFmtId="0" fontId="2" fillId="3" borderId="0" xfId="0" applyFont="1" applyFill="1"/>
    <xf numFmtId="0" fontId="1" fillId="3" borderId="0" xfId="1" applyFill="1" applyBorder="1" applyAlignment="1">
      <alignment horizontal="center" vertical="top" wrapText="1"/>
    </xf>
    <xf numFmtId="0" fontId="3" fillId="3" borderId="0" xfId="2" applyFill="1"/>
    <xf numFmtId="0" fontId="33" fillId="3" borderId="1" xfId="0" applyFont="1" applyFill="1" applyBorder="1" applyAlignment="1">
      <alignment horizontal="left"/>
    </xf>
    <xf numFmtId="0" fontId="2" fillId="3" borderId="4" xfId="0" applyFont="1" applyFill="1" applyBorder="1"/>
    <xf numFmtId="0" fontId="7" fillId="3" borderId="4" xfId="0" applyFont="1" applyFill="1" applyBorder="1"/>
    <xf numFmtId="2" fontId="0" fillId="3" borderId="4" xfId="0" applyNumberFormat="1" applyFill="1" applyBorder="1"/>
    <xf numFmtId="0" fontId="0" fillId="3" borderId="4" xfId="0" applyFill="1" applyBorder="1"/>
    <xf numFmtId="0" fontId="2" fillId="3" borderId="5" xfId="0" applyFont="1" applyFill="1" applyBorder="1"/>
    <xf numFmtId="0" fontId="7" fillId="3" borderId="5" xfId="0" applyFont="1" applyFill="1" applyBorder="1"/>
    <xf numFmtId="0" fontId="0" fillId="3" borderId="5" xfId="0" applyFill="1" applyBorder="1"/>
    <xf numFmtId="0" fontId="3" fillId="3" borderId="5" xfId="2" applyFill="1" applyBorder="1"/>
    <xf numFmtId="2" fontId="0" fillId="3" borderId="5" xfId="0" applyNumberFormat="1" applyFill="1" applyBorder="1"/>
    <xf numFmtId="2" fontId="37" fillId="3" borderId="4" xfId="0" applyNumberFormat="1" applyFont="1" applyFill="1" applyBorder="1"/>
    <xf numFmtId="2" fontId="37" fillId="3" borderId="1" xfId="0" applyNumberFormat="1" applyFont="1" applyFill="1" applyBorder="1"/>
    <xf numFmtId="2" fontId="1" fillId="3" borderId="1" xfId="1" applyNumberFormat="1" applyFill="1" applyBorder="1" applyAlignment="1">
      <alignment horizontal="center" vertical="top" wrapText="1"/>
    </xf>
    <xf numFmtId="2" fontId="14" fillId="3" borderId="1" xfId="0" applyNumberFormat="1" applyFont="1" applyFill="1" applyBorder="1"/>
    <xf numFmtId="2" fontId="12" fillId="3" borderId="1" xfId="0" applyNumberFormat="1" applyFont="1" applyFill="1" applyBorder="1"/>
    <xf numFmtId="2" fontId="16" fillId="3" borderId="1" xfId="0" applyNumberFormat="1" applyFont="1" applyFill="1" applyBorder="1"/>
    <xf numFmtId="0" fontId="38" fillId="3" borderId="0" xfId="0" applyFont="1" applyFill="1"/>
    <xf numFmtId="0" fontId="38" fillId="3" borderId="0" xfId="0" applyFont="1" applyFill="1" applyBorder="1"/>
    <xf numFmtId="0" fontId="0" fillId="3" borderId="0" xfId="0" applyFill="1" applyBorder="1"/>
    <xf numFmtId="0" fontId="6" fillId="3" borderId="0" xfId="0" applyFont="1" applyFill="1" applyBorder="1" applyAlignment="1"/>
    <xf numFmtId="0" fontId="6" fillId="3" borderId="0" xfId="0" applyFont="1" applyFill="1" applyBorder="1" applyAlignment="1">
      <alignment horizontal="center" wrapText="1"/>
    </xf>
    <xf numFmtId="0" fontId="6" fillId="3" borderId="0" xfId="0" applyFont="1" applyFill="1" applyBorder="1" applyAlignment="1">
      <alignment wrapText="1"/>
    </xf>
    <xf numFmtId="0" fontId="3" fillId="3" borderId="4" xfId="2" applyFill="1" applyBorder="1"/>
    <xf numFmtId="0" fontId="33" fillId="3" borderId="4" xfId="0" applyFont="1" applyFill="1" applyBorder="1" applyAlignment="1">
      <alignment horizontal="left"/>
    </xf>
    <xf numFmtId="0" fontId="19" fillId="3" borderId="0" xfId="0" applyFont="1" applyFill="1" applyAlignment="1">
      <alignment wrapText="1"/>
    </xf>
    <xf numFmtId="0" fontId="8" fillId="3" borderId="1" xfId="0" applyFont="1" applyFill="1" applyBorder="1" applyAlignment="1">
      <alignment horizontal="left" vertical="center" wrapText="1"/>
    </xf>
    <xf numFmtId="0" fontId="6" fillId="2" borderId="1" xfId="0" applyFont="1" applyFill="1" applyBorder="1" applyAlignment="1"/>
    <xf numFmtId="0" fontId="6" fillId="2" borderId="1" xfId="0" applyFont="1" applyFill="1" applyBorder="1" applyAlignment="1">
      <alignment horizontal="center" wrapText="1"/>
    </xf>
    <xf numFmtId="0" fontId="6" fillId="2" borderId="6" xfId="0" applyFont="1" applyFill="1" applyBorder="1" applyAlignment="1">
      <alignment wrapText="1"/>
    </xf>
    <xf numFmtId="0" fontId="7" fillId="3" borderId="0" xfId="3" applyFill="1"/>
    <xf numFmtId="0" fontId="2" fillId="3" borderId="0" xfId="3" applyFont="1" applyFill="1"/>
    <xf numFmtId="0" fontId="18" fillId="3" borderId="0" xfId="0" applyFont="1" applyFill="1"/>
    <xf numFmtId="0" fontId="7" fillId="3" borderId="0" xfId="3" applyFill="1" applyAlignment="1"/>
    <xf numFmtId="0" fontId="0" fillId="3" borderId="0" xfId="0" applyFill="1" applyAlignment="1">
      <alignment horizontal="left"/>
    </xf>
    <xf numFmtId="0" fontId="0" fillId="3" borderId="0" xfId="0" applyNumberFormat="1" applyFill="1"/>
    <xf numFmtId="0" fontId="39" fillId="3" borderId="0" xfId="3" applyFont="1" applyFill="1"/>
    <xf numFmtId="0" fontId="2" fillId="3" borderId="1" xfId="3" applyFont="1" applyFill="1" applyBorder="1"/>
    <xf numFmtId="0" fontId="7" fillId="3" borderId="1" xfId="3" applyFill="1" applyBorder="1"/>
    <xf numFmtId="0" fontId="7" fillId="3" borderId="1" xfId="3" applyFill="1" applyBorder="1" applyAlignment="1">
      <alignment wrapText="1"/>
    </xf>
    <xf numFmtId="0" fontId="13" fillId="3" borderId="1" xfId="3" applyFont="1" applyFill="1" applyBorder="1" applyAlignment="1">
      <alignment wrapText="1"/>
    </xf>
    <xf numFmtId="0" fontId="7" fillId="2" borderId="1" xfId="3" applyFill="1" applyBorder="1"/>
    <xf numFmtId="0" fontId="2" fillId="2" borderId="1" xfId="3" applyFont="1" applyFill="1" applyBorder="1"/>
    <xf numFmtId="1" fontId="7" fillId="3" borderId="1" xfId="3" applyNumberFormat="1" applyFill="1" applyBorder="1"/>
    <xf numFmtId="0" fontId="7" fillId="3" borderId="1" xfId="3" applyFont="1" applyFill="1" applyBorder="1"/>
    <xf numFmtId="0" fontId="17" fillId="3" borderId="1" xfId="0" applyFont="1" applyFill="1" applyBorder="1"/>
    <xf numFmtId="0" fontId="0" fillId="3" borderId="0" xfId="0" applyFont="1" applyFill="1"/>
    <xf numFmtId="0" fontId="0" fillId="3" borderId="1" xfId="0" applyFont="1" applyFill="1" applyBorder="1"/>
    <xf numFmtId="0" fontId="0" fillId="3" borderId="1" xfId="0" applyFont="1" applyFill="1" applyBorder="1" applyAlignment="1">
      <alignment horizontal="left" wrapText="1"/>
    </xf>
    <xf numFmtId="0" fontId="0" fillId="3" borderId="1" xfId="0" applyFont="1" applyFill="1" applyBorder="1" applyAlignment="1">
      <alignment horizontal="right" wrapText="1"/>
    </xf>
    <xf numFmtId="164" fontId="0" fillId="3" borderId="1" xfId="0" applyNumberFormat="1" applyFont="1" applyFill="1" applyBorder="1"/>
    <xf numFmtId="0" fontId="35" fillId="3" borderId="1" xfId="0" applyFont="1" applyFill="1" applyBorder="1" applyAlignment="1">
      <alignment horizontal="left" wrapText="1"/>
    </xf>
    <xf numFmtId="0" fontId="35" fillId="3" borderId="1" xfId="0" applyFont="1" applyFill="1" applyBorder="1" applyAlignment="1">
      <alignment horizontal="right" wrapText="1"/>
    </xf>
    <xf numFmtId="0" fontId="35" fillId="2" borderId="1" xfId="0" applyFont="1" applyFill="1" applyBorder="1" applyAlignment="1">
      <alignment horizontal="center" vertical="center" wrapText="1"/>
    </xf>
    <xf numFmtId="0" fontId="36" fillId="3" borderId="0" xfId="0" applyFont="1" applyFill="1" applyBorder="1"/>
    <xf numFmtId="0" fontId="27" fillId="3" borderId="0" xfId="0" applyFont="1" applyFill="1" applyAlignment="1">
      <alignment horizontal="left" vertical="center"/>
    </xf>
    <xf numFmtId="164" fontId="0" fillId="3" borderId="0" xfId="0" applyNumberFormat="1" applyFill="1"/>
    <xf numFmtId="0" fontId="0" fillId="3" borderId="0" xfId="0" applyFill="1" applyAlignment="1">
      <alignment horizontal="center"/>
    </xf>
    <xf numFmtId="0" fontId="27" fillId="3" borderId="0" xfId="0" applyFont="1" applyFill="1" applyAlignment="1">
      <alignment horizontal="center" vertical="center"/>
    </xf>
    <xf numFmtId="0" fontId="0" fillId="3" borderId="0" xfId="0" applyFill="1" applyBorder="1" applyAlignment="1"/>
    <xf numFmtId="3" fontId="16" fillId="3" borderId="0" xfId="0" applyNumberFormat="1" applyFont="1" applyFill="1"/>
    <xf numFmtId="0" fontId="22" fillId="3" borderId="0" xfId="0" applyFont="1" applyFill="1"/>
    <xf numFmtId="0" fontId="27" fillId="3" borderId="1" xfId="0" applyFont="1" applyFill="1" applyBorder="1" applyAlignment="1">
      <alignment horizontal="left" vertical="center"/>
    </xf>
    <xf numFmtId="3" fontId="0" fillId="3" borderId="1" xfId="0" applyNumberFormat="1" applyFill="1" applyBorder="1"/>
    <xf numFmtId="0" fontId="35" fillId="2" borderId="1" xfId="0" applyFont="1" applyFill="1" applyBorder="1"/>
    <xf numFmtId="0" fontId="3" fillId="3" borderId="1" xfId="2" applyFill="1" applyBorder="1" applyAlignment="1">
      <alignment horizontal="left" vertical="center"/>
    </xf>
    <xf numFmtId="0" fontId="3" fillId="3" borderId="1" xfId="2" applyFill="1" applyBorder="1" applyAlignment="1"/>
    <xf numFmtId="1" fontId="0" fillId="3" borderId="1" xfId="0" applyNumberFormat="1" applyFill="1" applyBorder="1"/>
    <xf numFmtId="0" fontId="6" fillId="2" borderId="1" xfId="0" applyFont="1" applyFill="1" applyBorder="1" applyAlignment="1">
      <alignment horizontal="left"/>
    </xf>
    <xf numFmtId="3" fontId="37" fillId="3" borderId="1" xfId="0" applyNumberFormat="1" applyFont="1" applyFill="1" applyBorder="1"/>
    <xf numFmtId="1" fontId="37" fillId="3" borderId="1" xfId="0" applyNumberFormat="1" applyFont="1" applyFill="1" applyBorder="1"/>
    <xf numFmtId="0" fontId="37" fillId="3" borderId="1" xfId="0" applyFont="1" applyFill="1" applyBorder="1"/>
    <xf numFmtId="3" fontId="41" fillId="3" borderId="1" xfId="0" applyNumberFormat="1" applyFont="1" applyFill="1" applyBorder="1"/>
    <xf numFmtId="3" fontId="41" fillId="3" borderId="2" xfId="0" applyNumberFormat="1" applyFont="1" applyFill="1" applyBorder="1"/>
    <xf numFmtId="0" fontId="2" fillId="3" borderId="1" xfId="3" applyFont="1" applyFill="1" applyBorder="1" applyProtection="1"/>
    <xf numFmtId="0" fontId="3" fillId="3" borderId="1" xfId="2" applyFill="1" applyBorder="1" applyAlignment="1">
      <alignment wrapText="1"/>
    </xf>
    <xf numFmtId="0" fontId="22" fillId="3" borderId="1" xfId="0" applyFont="1" applyFill="1" applyBorder="1"/>
    <xf numFmtId="3" fontId="12" fillId="3" borderId="1" xfId="0" applyNumberFormat="1" applyFont="1" applyFill="1" applyBorder="1"/>
    <xf numFmtId="1" fontId="36" fillId="3" borderId="1" xfId="0" applyNumberFormat="1" applyFont="1" applyFill="1" applyBorder="1"/>
    <xf numFmtId="1" fontId="42" fillId="3" borderId="1" xfId="0" applyNumberFormat="1" applyFont="1" applyFill="1" applyBorder="1"/>
    <xf numFmtId="3" fontId="36" fillId="3" borderId="1" xfId="0" applyNumberFormat="1" applyFont="1" applyFill="1" applyBorder="1"/>
    <xf numFmtId="3" fontId="42" fillId="3" borderId="1" xfId="0" applyNumberFormat="1" applyFont="1" applyFill="1" applyBorder="1"/>
    <xf numFmtId="164" fontId="36" fillId="3" borderId="1" xfId="0" applyNumberFormat="1" applyFont="1" applyFill="1" applyBorder="1"/>
    <xf numFmtId="164" fontId="42" fillId="3" borderId="1" xfId="0" applyNumberFormat="1" applyFont="1" applyFill="1" applyBorder="1"/>
    <xf numFmtId="0" fontId="6" fillId="2" borderId="1" xfId="0" applyFont="1" applyFill="1" applyBorder="1"/>
    <xf numFmtId="0" fontId="3" fillId="0" borderId="1" xfId="2" applyBorder="1" applyAlignment="1">
      <alignment vertical="center"/>
    </xf>
    <xf numFmtId="0" fontId="24" fillId="3" borderId="0" xfId="0" applyFont="1" applyFill="1"/>
    <xf numFmtId="0" fontId="21" fillId="3" borderId="0" xfId="1" applyFont="1" applyFill="1" applyAlignment="1">
      <alignment horizontal="left" vertical="top"/>
    </xf>
    <xf numFmtId="0" fontId="31" fillId="3" borderId="0" xfId="1" applyFont="1" applyFill="1" applyAlignment="1">
      <alignment horizontal="left" vertical="top"/>
    </xf>
    <xf numFmtId="1" fontId="21" fillId="3" borderId="0" xfId="1" applyNumberFormat="1" applyFont="1" applyFill="1" applyAlignment="1">
      <alignment horizontal="left" vertical="top"/>
    </xf>
    <xf numFmtId="2" fontId="21" fillId="3" borderId="0" xfId="1" applyNumberFormat="1" applyFont="1" applyFill="1" applyAlignment="1">
      <alignment horizontal="left" vertical="top"/>
    </xf>
    <xf numFmtId="0" fontId="30" fillId="3" borderId="0" xfId="0" applyFont="1" applyFill="1"/>
    <xf numFmtId="3" fontId="21" fillId="3" borderId="0" xfId="1" applyNumberFormat="1" applyFont="1" applyFill="1" applyAlignment="1">
      <alignment horizontal="left" vertical="top"/>
    </xf>
    <xf numFmtId="0" fontId="26" fillId="3" borderId="0" xfId="0" applyFont="1" applyFill="1"/>
    <xf numFmtId="2" fontId="24" fillId="3" borderId="0" xfId="0" applyNumberFormat="1" applyFont="1" applyFill="1" applyAlignment="1">
      <alignment horizontal="left"/>
    </xf>
    <xf numFmtId="0" fontId="31" fillId="3" borderId="0" xfId="0" applyFont="1" applyFill="1"/>
    <xf numFmtId="1" fontId="21" fillId="3" borderId="0" xfId="1" applyNumberFormat="1" applyFont="1" applyFill="1" applyAlignment="1">
      <alignment horizontal="right" vertical="top"/>
    </xf>
    <xf numFmtId="2" fontId="24" fillId="3" borderId="0" xfId="0" applyNumberFormat="1" applyFont="1" applyFill="1"/>
    <xf numFmtId="0" fontId="22" fillId="2" borderId="1" xfId="1" applyFont="1" applyFill="1" applyBorder="1" applyAlignment="1">
      <alignment horizontal="center" vertical="center" wrapText="1"/>
    </xf>
    <xf numFmtId="2" fontId="5" fillId="3" borderId="1" xfId="0" applyNumberFormat="1" applyFont="1" applyFill="1" applyBorder="1"/>
    <xf numFmtId="0" fontId="22" fillId="2" borderId="2" xfId="1" applyFont="1" applyFill="1" applyBorder="1" applyAlignment="1">
      <alignment horizontal="left" vertical="top"/>
    </xf>
    <xf numFmtId="0" fontId="32" fillId="2" borderId="2" xfId="1" applyFont="1" applyFill="1" applyBorder="1" applyAlignment="1">
      <alignment horizontal="left" vertical="top"/>
    </xf>
    <xf numFmtId="0" fontId="30" fillId="2" borderId="2" xfId="0" applyFont="1" applyFill="1" applyBorder="1"/>
    <xf numFmtId="3" fontId="22" fillId="3" borderId="1" xfId="1" applyNumberFormat="1" applyFont="1" applyFill="1" applyBorder="1" applyAlignment="1">
      <alignment horizontal="left" vertical="top"/>
    </xf>
    <xf numFmtId="3" fontId="32" fillId="3" borderId="1" xfId="1" applyNumberFormat="1" applyFont="1" applyFill="1" applyBorder="1" applyAlignment="1">
      <alignment horizontal="left" vertical="top"/>
    </xf>
    <xf numFmtId="3" fontId="25" fillId="3" borderId="1" xfId="1" applyNumberFormat="1" applyFont="1" applyFill="1" applyBorder="1" applyAlignment="1">
      <alignment horizontal="left" vertical="top"/>
    </xf>
    <xf numFmtId="0" fontId="30" fillId="3" borderId="1" xfId="0" applyFont="1" applyFill="1" applyBorder="1"/>
    <xf numFmtId="3" fontId="34" fillId="3" borderId="1" xfId="0" applyNumberFormat="1" applyFont="1" applyFill="1" applyBorder="1"/>
    <xf numFmtId="2" fontId="30" fillId="3" borderId="1" xfId="0" applyNumberFormat="1" applyFont="1" applyFill="1" applyBorder="1" applyAlignment="1">
      <alignment horizontal="left"/>
    </xf>
    <xf numFmtId="0" fontId="25" fillId="3" borderId="1" xfId="0" applyFont="1" applyFill="1" applyBorder="1"/>
    <xf numFmtId="3" fontId="21" fillId="3" borderId="1" xfId="1" applyNumberFormat="1" applyFont="1" applyFill="1" applyBorder="1" applyAlignment="1">
      <alignment horizontal="left" vertical="top"/>
    </xf>
    <xf numFmtId="3" fontId="31" fillId="3" borderId="1" xfId="1" applyNumberFormat="1" applyFont="1" applyFill="1" applyBorder="1" applyAlignment="1">
      <alignment horizontal="left" vertical="top"/>
    </xf>
    <xf numFmtId="3" fontId="23" fillId="3" borderId="1" xfId="1" applyNumberFormat="1" applyFont="1" applyFill="1" applyBorder="1" applyAlignment="1">
      <alignment horizontal="left" vertical="top"/>
    </xf>
    <xf numFmtId="2" fontId="26" fillId="3" borderId="1" xfId="0" applyNumberFormat="1" applyFont="1" applyFill="1" applyBorder="1" applyAlignment="1">
      <alignment horizontal="left"/>
    </xf>
    <xf numFmtId="2" fontId="23" fillId="3" borderId="1" xfId="1" applyNumberFormat="1" applyFont="1" applyFill="1" applyBorder="1" applyAlignment="1">
      <alignment horizontal="left" vertical="top"/>
    </xf>
    <xf numFmtId="2" fontId="24" fillId="3" borderId="1" xfId="0" applyNumberFormat="1" applyFont="1" applyFill="1" applyBorder="1" applyAlignment="1">
      <alignment horizontal="left"/>
    </xf>
    <xf numFmtId="2" fontId="21" fillId="3" borderId="1" xfId="1" applyNumberFormat="1" applyFont="1" applyFill="1" applyBorder="1" applyAlignment="1">
      <alignment horizontal="left" vertical="top"/>
    </xf>
    <xf numFmtId="2" fontId="31" fillId="3" borderId="1" xfId="1" applyNumberFormat="1" applyFont="1" applyFill="1" applyBorder="1" applyAlignment="1">
      <alignment horizontal="left" vertical="top"/>
    </xf>
    <xf numFmtId="0" fontId="31" fillId="3" borderId="1" xfId="1" applyFont="1" applyFill="1" applyBorder="1" applyAlignment="1">
      <alignment horizontal="left" vertical="top"/>
    </xf>
    <xf numFmtId="0" fontId="30" fillId="2" borderId="1" xfId="0" applyFont="1" applyFill="1" applyBorder="1" applyAlignment="1">
      <alignment horizontal="center" vertical="center" wrapText="1"/>
    </xf>
    <xf numFmtId="0" fontId="24" fillId="3" borderId="0" xfId="0" applyFont="1" applyFill="1" applyAlignment="1">
      <alignment horizontal="center" vertical="center"/>
    </xf>
    <xf numFmtId="3" fontId="43" fillId="3" borderId="1" xfId="0" applyNumberFormat="1" applyFont="1" applyFill="1" applyBorder="1" applyAlignment="1">
      <alignment horizontal="left"/>
    </xf>
    <xf numFmtId="0" fontId="29" fillId="3" borderId="1" xfId="0" applyFont="1" applyFill="1" applyBorder="1"/>
    <xf numFmtId="3" fontId="0" fillId="0" borderId="0" xfId="0" applyNumberFormat="1"/>
    <xf numFmtId="0" fontId="6" fillId="2" borderId="1" xfId="0" applyFont="1" applyFill="1" applyBorder="1" applyAlignment="1">
      <alignment horizontal="center"/>
    </xf>
    <xf numFmtId="0" fontId="0" fillId="3" borderId="1" xfId="0" applyFill="1" applyBorder="1" applyAlignment="1">
      <alignment horizontal="left" vertical="top" wrapText="1"/>
    </xf>
    <xf numFmtId="0" fontId="22" fillId="4" borderId="1" xfId="0" applyFont="1" applyFill="1" applyBorder="1"/>
    <xf numFmtId="3" fontId="21" fillId="4" borderId="1" xfId="1" applyNumberFormat="1" applyFont="1" applyFill="1" applyBorder="1" applyAlignment="1">
      <alignment horizontal="left" vertical="top"/>
    </xf>
    <xf numFmtId="3" fontId="31" fillId="4" borderId="1" xfId="1" applyNumberFormat="1" applyFont="1" applyFill="1" applyBorder="1" applyAlignment="1">
      <alignment horizontal="left" vertical="top"/>
    </xf>
    <xf numFmtId="2" fontId="24" fillId="4" borderId="1" xfId="0" applyNumberFormat="1" applyFont="1" applyFill="1" applyBorder="1" applyAlignment="1">
      <alignment horizontal="left"/>
    </xf>
    <xf numFmtId="0" fontId="44" fillId="2" borderId="0" xfId="1" applyFont="1" applyFill="1" applyBorder="1" applyAlignment="1">
      <alignment wrapText="1"/>
    </xf>
    <xf numFmtId="0" fontId="0" fillId="0" borderId="0" xfId="0" pivotButton="1"/>
    <xf numFmtId="0" fontId="0" fillId="0" borderId="0" xfId="0" applyAlignment="1">
      <alignment horizontal="left"/>
    </xf>
    <xf numFmtId="0" fontId="46" fillId="5" borderId="10" xfId="0" applyFont="1" applyFill="1" applyBorder="1" applyAlignment="1">
      <alignment vertical="center" wrapText="1"/>
    </xf>
    <xf numFmtId="0" fontId="46" fillId="5" borderId="11" xfId="0" applyFont="1" applyFill="1" applyBorder="1" applyAlignment="1">
      <alignment vertical="center" wrapText="1"/>
    </xf>
    <xf numFmtId="0" fontId="46" fillId="5" borderId="12" xfId="0" applyFont="1" applyFill="1" applyBorder="1" applyAlignment="1">
      <alignment vertical="center" wrapText="1"/>
    </xf>
    <xf numFmtId="0" fontId="45" fillId="6" borderId="15" xfId="0" applyFont="1" applyFill="1" applyBorder="1" applyAlignment="1">
      <alignment vertical="center" wrapText="1"/>
    </xf>
    <xf numFmtId="0" fontId="47" fillId="6" borderId="14" xfId="0" applyFont="1" applyFill="1" applyBorder="1" applyAlignment="1">
      <alignment vertical="center" wrapText="1"/>
    </xf>
    <xf numFmtId="0" fontId="45" fillId="7" borderId="15" xfId="0" applyFont="1" applyFill="1" applyBorder="1" applyAlignment="1">
      <alignment vertical="center" wrapText="1"/>
    </xf>
    <xf numFmtId="0" fontId="47" fillId="7" borderId="14" xfId="0" applyFont="1" applyFill="1" applyBorder="1" applyAlignment="1">
      <alignment vertical="center" wrapText="1"/>
    </xf>
    <xf numFmtId="3" fontId="37" fillId="3" borderId="6" xfId="0" applyNumberFormat="1" applyFont="1" applyFill="1" applyBorder="1"/>
    <xf numFmtId="3" fontId="33" fillId="3" borderId="1" xfId="0" applyNumberFormat="1" applyFont="1" applyFill="1" applyBorder="1"/>
    <xf numFmtId="0" fontId="48" fillId="2" borderId="2" xfId="0" applyFont="1" applyFill="1" applyBorder="1" applyAlignment="1">
      <alignment horizontal="left"/>
    </xf>
    <xf numFmtId="0" fontId="49" fillId="2" borderId="1" xfId="0" applyFont="1" applyFill="1" applyBorder="1" applyAlignment="1">
      <alignment horizontal="center"/>
    </xf>
    <xf numFmtId="0" fontId="49" fillId="2" borderId="1" xfId="0" applyFont="1" applyFill="1" applyBorder="1" applyAlignment="1">
      <alignment horizontal="left"/>
    </xf>
    <xf numFmtId="3" fontId="50" fillId="3" borderId="1" xfId="0" applyNumberFormat="1" applyFont="1" applyFill="1" applyBorder="1"/>
    <xf numFmtId="1" fontId="50" fillId="3" borderId="1" xfId="0" applyNumberFormat="1" applyFont="1" applyFill="1" applyBorder="1"/>
    <xf numFmtId="0" fontId="33" fillId="3" borderId="1" xfId="0" applyFont="1" applyFill="1" applyBorder="1"/>
    <xf numFmtId="2" fontId="33" fillId="3" borderId="1" xfId="0" applyNumberFormat="1" applyFont="1" applyFill="1" applyBorder="1"/>
    <xf numFmtId="0" fontId="51" fillId="2" borderId="2" xfId="1" applyFont="1" applyFill="1" applyBorder="1" applyAlignment="1">
      <alignment horizontal="left" vertical="top"/>
    </xf>
    <xf numFmtId="3" fontId="52" fillId="3" borderId="1" xfId="1" applyNumberFormat="1" applyFont="1" applyFill="1" applyBorder="1" applyAlignment="1">
      <alignment horizontal="left" vertical="top"/>
    </xf>
    <xf numFmtId="3" fontId="52" fillId="4" borderId="1" xfId="1" applyNumberFormat="1" applyFont="1" applyFill="1" applyBorder="1" applyAlignment="1">
      <alignment horizontal="left" vertical="top"/>
    </xf>
    <xf numFmtId="3" fontId="53" fillId="3" borderId="1" xfId="1" applyNumberFormat="1" applyFont="1" applyFill="1" applyBorder="1" applyAlignment="1">
      <alignment horizontal="left" vertical="top"/>
    </xf>
    <xf numFmtId="3" fontId="52" fillId="3" borderId="0" xfId="1" applyNumberFormat="1" applyFont="1" applyFill="1" applyBorder="1" applyAlignment="1">
      <alignment horizontal="left" vertical="top"/>
    </xf>
    <xf numFmtId="0" fontId="21" fillId="3" borderId="1" xfId="0" applyFont="1" applyFill="1" applyBorder="1"/>
    <xf numFmtId="0" fontId="38" fillId="3" borderId="0" xfId="0" applyFont="1" applyFill="1" applyAlignment="1">
      <alignment horizontal="left"/>
    </xf>
    <xf numFmtId="0" fontId="24" fillId="3" borderId="0" xfId="0" applyFont="1" applyFill="1" applyAlignment="1">
      <alignment horizontal="left"/>
    </xf>
    <xf numFmtId="0" fontId="22" fillId="3" borderId="1" xfId="0" applyFont="1" applyFill="1" applyBorder="1" applyAlignment="1">
      <alignment horizontal="left"/>
    </xf>
    <xf numFmtId="0" fontId="21" fillId="3" borderId="1" xfId="0" applyFont="1" applyFill="1" applyBorder="1" applyAlignment="1">
      <alignment horizontal="left"/>
    </xf>
    <xf numFmtId="0" fontId="22" fillId="4" borderId="1" xfId="0" applyFont="1" applyFill="1" applyBorder="1" applyAlignment="1">
      <alignment horizontal="left"/>
    </xf>
    <xf numFmtId="0" fontId="22" fillId="3" borderId="0" xfId="0" applyFont="1" applyFill="1" applyAlignment="1">
      <alignment horizontal="left"/>
    </xf>
    <xf numFmtId="0" fontId="12" fillId="3" borderId="0" xfId="0" applyFont="1" applyFill="1"/>
    <xf numFmtId="0" fontId="54" fillId="2" borderId="7" xfId="0" applyFont="1" applyFill="1" applyBorder="1" applyAlignment="1">
      <alignment vertical="center" wrapText="1"/>
    </xf>
    <xf numFmtId="0" fontId="12" fillId="3" borderId="0" xfId="0" applyFont="1" applyFill="1" applyBorder="1"/>
    <xf numFmtId="0" fontId="46" fillId="5" borderId="13" xfId="0" applyFont="1" applyFill="1" applyBorder="1" applyAlignment="1">
      <alignment vertical="center" wrapText="1"/>
    </xf>
    <xf numFmtId="3" fontId="0" fillId="3" borderId="0" xfId="0" applyNumberFormat="1" applyFill="1"/>
    <xf numFmtId="0" fontId="0" fillId="3" borderId="1" xfId="0" applyFill="1" applyBorder="1" applyAlignment="1">
      <alignment horizontal="left"/>
    </xf>
    <xf numFmtId="0" fontId="22" fillId="2" borderId="1" xfId="1" applyFont="1" applyFill="1" applyBorder="1" applyAlignment="1">
      <alignment horizontal="left" vertical="top"/>
    </xf>
    <xf numFmtId="0" fontId="30" fillId="3" borderId="0" xfId="0" applyFont="1" applyFill="1" applyBorder="1"/>
    <xf numFmtId="0" fontId="0" fillId="3" borderId="0" xfId="0" applyFill="1" applyAlignment="1">
      <alignment vertical="center"/>
    </xf>
    <xf numFmtId="0" fontId="22" fillId="2" borderId="1" xfId="1" applyFont="1" applyFill="1" applyBorder="1" applyAlignment="1">
      <alignment horizontal="center"/>
    </xf>
    <xf numFmtId="0" fontId="0" fillId="3" borderId="1" xfId="0" applyFill="1" applyBorder="1" applyAlignment="1">
      <alignment horizontal="left" vertical="top"/>
    </xf>
    <xf numFmtId="3" fontId="37" fillId="3" borderId="1" xfId="0" applyNumberFormat="1" applyFont="1" applyFill="1" applyBorder="1" applyAlignment="1">
      <alignment horizontal="left" vertical="top"/>
    </xf>
    <xf numFmtId="3" fontId="0" fillId="3" borderId="1" xfId="0" applyNumberFormat="1" applyFill="1" applyBorder="1" applyAlignment="1">
      <alignment horizontal="left" vertical="top"/>
    </xf>
    <xf numFmtId="3" fontId="0" fillId="3" borderId="1" xfId="0" applyNumberFormat="1" applyFill="1" applyBorder="1" applyAlignment="1">
      <alignment horizontal="left" vertical="top" wrapText="1"/>
    </xf>
    <xf numFmtId="14" fontId="0" fillId="3" borderId="1" xfId="0" quotePrefix="1" applyNumberFormat="1" applyFill="1" applyBorder="1" applyAlignment="1">
      <alignment horizontal="left" vertical="top"/>
    </xf>
    <xf numFmtId="3" fontId="0" fillId="3" borderId="1" xfId="0" quotePrefix="1" applyNumberFormat="1" applyFill="1" applyBorder="1" applyAlignment="1">
      <alignment horizontal="left" vertical="top"/>
    </xf>
    <xf numFmtId="0" fontId="0" fillId="3" borderId="1" xfId="0" quotePrefix="1" applyFill="1" applyBorder="1" applyAlignment="1">
      <alignment horizontal="left" vertical="top"/>
    </xf>
    <xf numFmtId="3" fontId="0" fillId="3" borderId="1" xfId="0" applyNumberFormat="1" applyFill="1" applyBorder="1" applyAlignment="1">
      <alignment vertical="top"/>
    </xf>
    <xf numFmtId="3" fontId="0" fillId="3" borderId="6" xfId="0" applyNumberFormat="1" applyFill="1" applyBorder="1" applyAlignment="1">
      <alignment horizontal="left" vertical="top"/>
    </xf>
    <xf numFmtId="0" fontId="30" fillId="2" borderId="17" xfId="0" applyFont="1" applyFill="1" applyBorder="1" applyAlignment="1">
      <alignment vertical="center"/>
    </xf>
    <xf numFmtId="0" fontId="30" fillId="2" borderId="19" xfId="0" applyFont="1" applyFill="1" applyBorder="1" applyAlignment="1">
      <alignment vertical="center"/>
    </xf>
    <xf numFmtId="0" fontId="22" fillId="2" borderId="20" xfId="1" applyFont="1" applyFill="1" applyBorder="1" applyAlignment="1">
      <alignment horizontal="left" vertical="top"/>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6" fillId="2" borderId="1" xfId="0" applyFont="1" applyFill="1" applyBorder="1" applyAlignment="1">
      <alignment horizontal="center" wrapText="1"/>
    </xf>
    <xf numFmtId="0" fontId="6" fillId="2" borderId="1" xfId="0" applyFont="1" applyFill="1" applyBorder="1" applyAlignment="1">
      <alignment horizontal="center" vertical="center" wrapText="1"/>
    </xf>
    <xf numFmtId="0" fontId="22" fillId="2" borderId="1" xfId="1" applyFont="1" applyFill="1" applyBorder="1" applyAlignment="1">
      <alignment horizontal="center" vertical="center"/>
    </xf>
    <xf numFmtId="0" fontId="22" fillId="2" borderId="1" xfId="1" applyFont="1" applyFill="1" applyBorder="1" applyAlignment="1">
      <alignment horizontal="center" vertical="center" wrapText="1"/>
    </xf>
    <xf numFmtId="0" fontId="32" fillId="2" borderId="1" xfId="1" applyFont="1" applyFill="1" applyBorder="1" applyAlignment="1">
      <alignment horizontal="center" vertical="center"/>
    </xf>
    <xf numFmtId="0" fontId="7" fillId="2" borderId="1" xfId="3" applyFill="1" applyBorder="1" applyAlignment="1">
      <alignment horizontal="center"/>
    </xf>
    <xf numFmtId="0" fontId="7" fillId="3" borderId="1" xfId="3" applyFill="1" applyBorder="1" applyAlignment="1">
      <alignment horizontal="left" wrapText="1"/>
    </xf>
    <xf numFmtId="0" fontId="35" fillId="3" borderId="1" xfId="0" applyFont="1" applyFill="1" applyBorder="1" applyAlignment="1">
      <alignment horizontal="left" wrapText="1"/>
    </xf>
    <xf numFmtId="0" fontId="28" fillId="2" borderId="1" xfId="0" applyFont="1" applyFill="1" applyBorder="1" applyAlignment="1">
      <alignment horizontal="left"/>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4" xfId="0" applyFont="1" applyFill="1" applyBorder="1" applyAlignment="1">
      <alignment horizontal="center"/>
    </xf>
    <xf numFmtId="0" fontId="3" fillId="3" borderId="1" xfId="2" applyFill="1" applyBorder="1" applyAlignment="1">
      <alignment horizontal="left" vertical="top" wrapText="1"/>
    </xf>
    <xf numFmtId="0" fontId="0" fillId="3" borderId="1" xfId="0" applyFill="1" applyBorder="1" applyAlignment="1">
      <alignment horizontal="left" vertical="top" wrapText="1"/>
    </xf>
    <xf numFmtId="0" fontId="6" fillId="2" borderId="3" xfId="0" applyFont="1" applyFill="1" applyBorder="1" applyAlignment="1">
      <alignment horizontal="center"/>
    </xf>
    <xf numFmtId="0" fontId="35" fillId="2" borderId="1" xfId="0" applyFont="1" applyFill="1" applyBorder="1" applyAlignment="1">
      <alignment horizontal="center"/>
    </xf>
    <xf numFmtId="0" fontId="40" fillId="2" borderId="1" xfId="0" applyFont="1" applyFill="1" applyBorder="1" applyAlignment="1">
      <alignment horizontal="center" vertical="center" wrapText="1"/>
    </xf>
    <xf numFmtId="0" fontId="40" fillId="2" borderId="1" xfId="0" applyFont="1" applyFill="1" applyBorder="1" applyAlignment="1">
      <alignment horizontal="center" vertical="center"/>
    </xf>
    <xf numFmtId="0" fontId="41" fillId="3" borderId="2" xfId="0" applyFont="1" applyFill="1" applyBorder="1" applyAlignment="1">
      <alignment horizontal="right"/>
    </xf>
    <xf numFmtId="0" fontId="3" fillId="3" borderId="2" xfId="2" applyFill="1" applyBorder="1" applyAlignment="1">
      <alignment horizontal="center" wrapText="1"/>
    </xf>
    <xf numFmtId="0" fontId="3" fillId="3" borderId="3" xfId="2" applyFill="1" applyBorder="1" applyAlignment="1">
      <alignment horizontal="center" wrapText="1"/>
    </xf>
    <xf numFmtId="0" fontId="3" fillId="3" borderId="4" xfId="2" applyFill="1" applyBorder="1" applyAlignment="1">
      <alignment horizont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3" borderId="4" xfId="0" applyFill="1" applyBorder="1" applyAlignment="1">
      <alignment horizontal="center" wrapText="1"/>
    </xf>
    <xf numFmtId="0" fontId="41" fillId="3" borderId="1" xfId="0" applyFont="1" applyFill="1" applyBorder="1" applyAlignment="1">
      <alignment horizontal="right"/>
    </xf>
    <xf numFmtId="0" fontId="0" fillId="2" borderId="2" xfId="0" applyFill="1" applyBorder="1" applyAlignment="1">
      <alignment horizontal="center"/>
    </xf>
    <xf numFmtId="0" fontId="0" fillId="2" borderId="4" xfId="0" applyFill="1" applyBorder="1" applyAlignment="1">
      <alignment horizontal="center"/>
    </xf>
    <xf numFmtId="0" fontId="6" fillId="2" borderId="6" xfId="0" applyFont="1" applyFill="1" applyBorder="1" applyAlignment="1">
      <alignment horizontal="center"/>
    </xf>
    <xf numFmtId="0" fontId="46" fillId="5" borderId="16" xfId="0" applyFont="1" applyFill="1" applyBorder="1" applyAlignment="1">
      <alignment vertical="center" wrapText="1"/>
    </xf>
    <xf numFmtId="0" fontId="46" fillId="5" borderId="13" xfId="0" applyFont="1" applyFill="1" applyBorder="1" applyAlignment="1">
      <alignment vertical="center" wrapText="1"/>
    </xf>
    <xf numFmtId="0" fontId="47" fillId="6" borderId="16" xfId="0" applyFont="1" applyFill="1" applyBorder="1" applyAlignment="1">
      <alignment vertical="center" wrapText="1"/>
    </xf>
    <xf numFmtId="0" fontId="47" fillId="6" borderId="13" xfId="0" applyFont="1" applyFill="1" applyBorder="1" applyAlignment="1">
      <alignment vertical="center" wrapText="1"/>
    </xf>
    <xf numFmtId="0" fontId="47" fillId="7" borderId="16" xfId="0" applyFont="1" applyFill="1" applyBorder="1" applyAlignment="1">
      <alignment vertical="center" wrapText="1"/>
    </xf>
    <xf numFmtId="0" fontId="47" fillId="7" borderId="13" xfId="0" applyFont="1" applyFill="1" applyBorder="1" applyAlignment="1">
      <alignment vertical="center" wrapText="1"/>
    </xf>
    <xf numFmtId="3" fontId="0" fillId="3" borderId="2" xfId="0" applyNumberFormat="1" applyFill="1" applyBorder="1" applyAlignment="1">
      <alignment horizontal="right" vertical="top"/>
    </xf>
    <xf numFmtId="3" fontId="0" fillId="3" borderId="3" xfId="0" applyNumberFormat="1" applyFill="1" applyBorder="1" applyAlignment="1">
      <alignment horizontal="right" vertical="top"/>
    </xf>
    <xf numFmtId="3" fontId="0" fillId="3" borderId="4" xfId="0" applyNumberFormat="1" applyFill="1" applyBorder="1" applyAlignment="1">
      <alignment horizontal="right" vertical="top"/>
    </xf>
    <xf numFmtId="0" fontId="30" fillId="2" borderId="2" xfId="0" applyFont="1" applyFill="1" applyBorder="1" applyAlignment="1">
      <alignment horizontal="center" wrapText="1"/>
    </xf>
    <xf numFmtId="0" fontId="30" fillId="2" borderId="4" xfId="0" applyFont="1" applyFill="1" applyBorder="1" applyAlignment="1">
      <alignment horizontal="center" wrapText="1"/>
    </xf>
    <xf numFmtId="0" fontId="44" fillId="2" borderId="2" xfId="1" applyFont="1" applyFill="1" applyBorder="1" applyAlignment="1">
      <alignment horizontal="center" wrapText="1"/>
    </xf>
    <xf numFmtId="0" fontId="44" fillId="2" borderId="4" xfId="1" applyFont="1" applyFill="1" applyBorder="1" applyAlignment="1">
      <alignment horizontal="center" wrapText="1"/>
    </xf>
    <xf numFmtId="0" fontId="22" fillId="2" borderId="2" xfId="1" applyFont="1" applyFill="1" applyBorder="1" applyAlignment="1">
      <alignment horizontal="center"/>
    </xf>
    <xf numFmtId="0" fontId="22" fillId="2" borderId="4" xfId="1" applyFont="1" applyFill="1" applyBorder="1" applyAlignment="1">
      <alignment horizontal="center"/>
    </xf>
    <xf numFmtId="3" fontId="0" fillId="3" borderId="17" xfId="0" applyNumberFormat="1" applyFill="1" applyBorder="1" applyAlignment="1">
      <alignment horizontal="left" vertical="top"/>
    </xf>
    <xf numFmtId="3" fontId="0" fillId="3" borderId="18" xfId="0" applyNumberFormat="1" applyFill="1" applyBorder="1" applyAlignment="1">
      <alignment horizontal="left" vertical="top"/>
    </xf>
    <xf numFmtId="3" fontId="0" fillId="3" borderId="19" xfId="0" applyNumberFormat="1" applyFill="1" applyBorder="1" applyAlignment="1">
      <alignment horizontal="left" vertical="top"/>
    </xf>
    <xf numFmtId="3" fontId="0" fillId="3" borderId="2" xfId="0" applyNumberFormat="1" applyFill="1" applyBorder="1" applyAlignment="1">
      <alignment horizontal="left" vertical="top"/>
    </xf>
    <xf numFmtId="3" fontId="0" fillId="3" borderId="3" xfId="0" applyNumberFormat="1" applyFill="1" applyBorder="1" applyAlignment="1">
      <alignment horizontal="left" vertical="top"/>
    </xf>
    <xf numFmtId="3" fontId="0" fillId="3" borderId="4" xfId="0" applyNumberFormat="1" applyFill="1" applyBorder="1" applyAlignment="1">
      <alignment horizontal="left" vertical="top"/>
    </xf>
    <xf numFmtId="0" fontId="22" fillId="2" borderId="1" xfId="1" applyFont="1" applyFill="1" applyBorder="1" applyAlignment="1">
      <alignment horizontal="center" wrapText="1"/>
    </xf>
    <xf numFmtId="0" fontId="0" fillId="3" borderId="2" xfId="0" applyFill="1" applyBorder="1" applyAlignment="1">
      <alignment horizontal="left" vertical="top"/>
    </xf>
    <xf numFmtId="0" fontId="0" fillId="3" borderId="4" xfId="0" applyFill="1" applyBorder="1" applyAlignment="1">
      <alignment horizontal="left" vertical="top"/>
    </xf>
    <xf numFmtId="0" fontId="0" fillId="3" borderId="3" xfId="0" applyFill="1" applyBorder="1" applyAlignment="1">
      <alignment horizontal="left" vertical="top"/>
    </xf>
    <xf numFmtId="0" fontId="54" fillId="2" borderId="2"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44" fillId="2" borderId="2" xfId="1" applyFont="1" applyFill="1" applyBorder="1" applyAlignment="1">
      <alignment horizontal="center" vertical="center" wrapText="1"/>
    </xf>
    <xf numFmtId="0" fontId="44" fillId="2" borderId="4" xfId="1" applyFont="1" applyFill="1" applyBorder="1" applyAlignment="1">
      <alignment horizontal="center" vertical="center" wrapText="1"/>
    </xf>
    <xf numFmtId="0" fontId="56" fillId="2" borderId="6" xfId="1" applyFont="1" applyFill="1" applyBorder="1" applyAlignment="1">
      <alignment horizontal="center" vertical="center" wrapText="1"/>
    </xf>
    <xf numFmtId="0" fontId="56" fillId="2" borderId="8" xfId="1" applyFont="1" applyFill="1" applyBorder="1" applyAlignment="1">
      <alignment horizontal="center" vertical="center" wrapText="1"/>
    </xf>
    <xf numFmtId="0" fontId="56" fillId="2" borderId="9" xfId="1" applyFont="1" applyFill="1" applyBorder="1" applyAlignment="1">
      <alignment horizontal="center" vertical="center" wrapText="1"/>
    </xf>
    <xf numFmtId="0" fontId="22" fillId="2" borderId="8" xfId="1" applyFont="1" applyFill="1" applyBorder="1" applyAlignment="1">
      <alignment horizontal="center" vertical="center"/>
    </xf>
    <xf numFmtId="0" fontId="22" fillId="2" borderId="9"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8" xfId="1" applyFont="1" applyFill="1" applyBorder="1" applyAlignment="1">
      <alignment horizontal="center" vertical="center"/>
    </xf>
    <xf numFmtId="0" fontId="32" fillId="2" borderId="9" xfId="1" applyFont="1" applyFill="1" applyBorder="1" applyAlignment="1">
      <alignment horizontal="center" vertical="center"/>
    </xf>
    <xf numFmtId="0" fontId="22" fillId="2" borderId="6" xfId="1" applyFont="1" applyFill="1" applyBorder="1" applyAlignment="1">
      <alignment horizontal="center" vertical="center" wrapText="1"/>
    </xf>
    <xf numFmtId="0" fontId="22" fillId="2" borderId="8" xfId="1" applyFont="1" applyFill="1" applyBorder="1" applyAlignment="1">
      <alignment horizontal="center" vertical="center" wrapText="1"/>
    </xf>
    <xf numFmtId="0" fontId="22" fillId="2" borderId="9" xfId="1" applyFont="1" applyFill="1" applyBorder="1" applyAlignment="1">
      <alignment horizontal="center" vertical="center" wrapText="1"/>
    </xf>
  </cellXfs>
  <cellStyles count="4">
    <cellStyle name="Hyperlink" xfId="2" builtinId="8"/>
    <cellStyle name="Normal" xfId="0" builtinId="0"/>
    <cellStyle name="Normal 2" xfId="1" xr:uid="{01B73085-68CD-4E06-97B5-B00AEE36B1AB}"/>
    <cellStyle name="Normal 3" xfId="3" xr:uid="{50890C70-6EF3-4843-89C8-EA5408EF94AE}"/>
  </cellStyles>
  <dxfs count="14">
    <dxf>
      <numFmt numFmtId="3" formatCode="#,##0"/>
    </dxf>
    <dxf>
      <numFmt numFmtId="3" formatCode="#,##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colors>
    <mruColors>
      <color rgb="FFB4B000"/>
      <color rgb="FFC0BC00"/>
      <color rgb="FFF2B800"/>
      <color rgb="FFFFC50D"/>
      <color rgb="FFCFE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onnections" Target="connections.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IKP!$R$134</c:f>
              <c:strCache>
                <c:ptCount val="1"/>
                <c:pt idx="0">
                  <c:v>Vēsturiskais</c:v>
                </c:pt>
              </c:strCache>
            </c:strRef>
          </c:tx>
          <c:spPr>
            <a:ln w="28575" cap="rnd">
              <a:solidFill>
                <a:schemeClr val="accent1"/>
              </a:solidFill>
              <a:round/>
            </a:ln>
            <a:effectLst/>
          </c:spPr>
          <c:marker>
            <c:symbol val="none"/>
          </c:marker>
          <c:val>
            <c:numRef>
              <c:f>IKP!$S$134:$AC$134</c:f>
            </c:numRef>
          </c:val>
          <c:smooth val="0"/>
          <c:extLst>
            <c:ext xmlns:c16="http://schemas.microsoft.com/office/drawing/2014/chart" uri="{C3380CC4-5D6E-409C-BE32-E72D297353CC}">
              <c16:uniqueId val="{00000000-7E25-4587-A952-D893F8ED77BB}"/>
            </c:ext>
          </c:extLst>
        </c:ser>
        <c:ser>
          <c:idx val="1"/>
          <c:order val="1"/>
          <c:tx>
            <c:strRef>
              <c:f>IKP!$R$135</c:f>
              <c:strCache>
                <c:ptCount val="1"/>
                <c:pt idx="0">
                  <c:v>Aprēķinātais</c:v>
                </c:pt>
              </c:strCache>
            </c:strRef>
          </c:tx>
          <c:spPr>
            <a:ln w="28575" cap="rnd">
              <a:solidFill>
                <a:schemeClr val="accent2"/>
              </a:solidFill>
              <a:round/>
            </a:ln>
            <a:effectLst/>
          </c:spPr>
          <c:marker>
            <c:symbol val="none"/>
          </c:marker>
          <c:val>
            <c:numRef>
              <c:f>IKP!$S$135:$AC$135</c:f>
            </c:numRef>
          </c:val>
          <c:smooth val="0"/>
          <c:extLst>
            <c:ext xmlns:c16="http://schemas.microsoft.com/office/drawing/2014/chart" uri="{C3380CC4-5D6E-409C-BE32-E72D297353CC}">
              <c16:uniqueId val="{00000001-7E25-4587-A952-D893F8ED77BB}"/>
            </c:ext>
          </c:extLst>
        </c:ser>
        <c:dLbls>
          <c:showLegendKey val="0"/>
          <c:showVal val="0"/>
          <c:showCatName val="0"/>
          <c:showSerName val="0"/>
          <c:showPercent val="0"/>
          <c:showBubbleSize val="0"/>
        </c:dLbls>
        <c:marker val="1"/>
        <c:smooth val="0"/>
        <c:axId val="993275120"/>
        <c:axId val="993280696"/>
      </c:lineChart>
      <c:catAx>
        <c:axId val="9932751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993280696"/>
        <c:crosses val="autoZero"/>
        <c:auto val="1"/>
        <c:lblAlgn val="ctr"/>
        <c:lblOffset val="100"/>
        <c:noMultiLvlLbl val="0"/>
      </c:catAx>
      <c:valAx>
        <c:axId val="993280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993275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2245315648385664"/>
                  <c:y val="0.2279319193735880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trendlineLbl>
          </c:trendline>
          <c:xVal>
            <c:numRef>
              <c:f>Atkritumi!$B$6:$H$6</c:f>
              <c:numCache>
                <c:formatCode>#,##0</c:formatCode>
                <c:ptCount val="7"/>
                <c:pt idx="0">
                  <c:v>22749010</c:v>
                </c:pt>
                <c:pt idx="1">
                  <c:v>23625802</c:v>
                </c:pt>
                <c:pt idx="2">
                  <c:v>24572126</c:v>
                </c:pt>
                <c:pt idx="3">
                  <c:v>25371324</c:v>
                </c:pt>
                <c:pt idx="4">
                  <c:v>26984433</c:v>
                </c:pt>
                <c:pt idx="5">
                  <c:v>29153556</c:v>
                </c:pt>
                <c:pt idx="6">
                  <c:v>30647222</c:v>
                </c:pt>
              </c:numCache>
            </c:numRef>
          </c:xVal>
          <c:yVal>
            <c:numRef>
              <c:f>Atkritumi!$B$7:$H$7</c:f>
              <c:numCache>
                <c:formatCode>0.000</c:formatCode>
                <c:ptCount val="7"/>
                <c:pt idx="0">
                  <c:v>3.0963433371386271E-2</c:v>
                </c:pt>
                <c:pt idx="1">
                  <c:v>3.0729637326174147E-2</c:v>
                </c:pt>
                <c:pt idx="2">
                  <c:v>3.2480464755064338E-2</c:v>
                </c:pt>
                <c:pt idx="3">
                  <c:v>3.1629156724339656E-2</c:v>
                </c:pt>
                <c:pt idx="4">
                  <c:v>2.957482930992102E-2</c:v>
                </c:pt>
                <c:pt idx="5">
                  <c:v>2.6928769159755332E-2</c:v>
                </c:pt>
                <c:pt idx="6">
                  <c:v>2.7439423840764424E-2</c:v>
                </c:pt>
              </c:numCache>
            </c:numRef>
          </c:yVal>
          <c:smooth val="0"/>
          <c:extLst>
            <c:ext xmlns:c16="http://schemas.microsoft.com/office/drawing/2014/chart" uri="{C3380CC4-5D6E-409C-BE32-E72D297353CC}">
              <c16:uniqueId val="{00000000-A91B-4086-B2C7-50743D79BB38}"/>
            </c:ext>
          </c:extLst>
        </c:ser>
        <c:dLbls>
          <c:showLegendKey val="0"/>
          <c:showVal val="0"/>
          <c:showCatName val="0"/>
          <c:showSerName val="0"/>
          <c:showPercent val="0"/>
          <c:showBubbleSize val="0"/>
        </c:dLbls>
        <c:axId val="993325304"/>
        <c:axId val="993323336"/>
      </c:scatterChart>
      <c:valAx>
        <c:axId val="993325304"/>
        <c:scaling>
          <c:orientation val="minMax"/>
          <c:min val="20000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IKP, tūkst.EUR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993323336"/>
        <c:crosses val="autoZero"/>
        <c:crossBetween val="midCat"/>
      </c:valAx>
      <c:valAx>
        <c:axId val="993323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Radīto atkritumu daudzums, kg/EUR</a:t>
                </a:r>
              </a:p>
            </c:rich>
          </c:tx>
          <c:layout>
            <c:manualLayout>
              <c:xMode val="edge"/>
              <c:yMode val="edge"/>
              <c:x val="1.3335111348179758E-2"/>
              <c:y val="6.618303979412044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9933253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title pos="t" align="ctr" overlay="0">
      <cx:tx>
        <cx:rich>
          <a:bodyPr spcFirstLastPara="1" vertOverflow="ellipsis" horzOverflow="overflow" wrap="square" lIns="0" tIns="0" rIns="0" bIns="0" anchor="ctr" anchorCtr="1"/>
          <a:lstStyle/>
          <a:p>
            <a:pPr algn="ctr" rtl="0">
              <a:defRPr/>
            </a:pPr>
            <a:r>
              <a:rPr lang="lv-LV" sz="1400" b="0" i="0" u="none" strike="noStrike" baseline="0">
                <a:solidFill>
                  <a:sysClr val="windowText" lastClr="000000">
                    <a:lumMod val="65000"/>
                    <a:lumOff val="35000"/>
                  </a:sysClr>
                </a:solidFill>
                <a:latin typeface="Calibri" panose="020F0502020204030204"/>
              </a:rPr>
              <a:t>Radītais mājsaimniecības bioloģisko atkritumu daudzums 2030.gadā</a:t>
            </a: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series layoutId="regionMap" uniqueId="{7A4D4DDA-2DDE-4FB6-83AE-1BD21110D922}">
          <cx:tx>
            <cx:txData>
              <cx:f>_xlchart.v5.2</cx:f>
              <cx:v>Tonnas</cx:v>
            </cx:txData>
          </cx:tx>
          <cx:spPr>
            <a:solidFill>
              <a:srgbClr val="B4B000"/>
            </a:solidFill>
            <a:ln>
              <a:solidFill>
                <a:schemeClr val="bg1">
                  <a:lumMod val="65000"/>
                </a:schemeClr>
              </a:solidFill>
            </a:ln>
          </cx:spPr>
          <cx:dataPt idx="0">
            <cx:spPr>
              <a:solidFill>
                <a:srgbClr val="70AD47">
                  <a:lumMod val="50000"/>
                </a:srgbClr>
              </a:solidFill>
            </cx:spPr>
          </cx:dataPt>
          <cx:dataLabels>
            <cx:txPr>
              <a:bodyPr spcFirstLastPara="1" vertOverflow="ellipsis" horzOverflow="overflow" wrap="square" lIns="0" tIns="0" rIns="0" bIns="0" anchor="ctr" anchorCtr="1"/>
              <a:lstStyle/>
              <a:p>
                <a:pPr algn="ctr" rtl="0">
                  <a:defRPr sz="800"/>
                </a:pPr>
                <a:endParaRPr lang="en-US" sz="800" b="0" i="0" u="none" strike="noStrike" baseline="0">
                  <a:solidFill>
                    <a:sysClr val="windowText" lastClr="000000">
                      <a:lumMod val="65000"/>
                      <a:lumOff val="35000"/>
                    </a:sysClr>
                  </a:solidFill>
                  <a:latin typeface="Calibri" panose="020F0502020204030204"/>
                </a:endParaRPr>
              </a:p>
            </cx:txPr>
            <cx:visibility seriesName="0" categoryName="1" value="1"/>
            <cx:separator> </cx:separator>
          </cx:dataLabels>
          <cx:dataId val="0"/>
          <cx:layoutPr>
            <cx:regionLabelLayout val="none"/>
            <cx:geography cultureLanguage="en-US" cultureRegion="LV" attribution="Powered by Bing">
              <cx:geoCache provider="{E9337A44-BEBE-4D9F-B70C-5C5E7DAFC167}">
                <cx:binary>7H3LctxIku2vlGl9wYoXEBFtU23WASCTZCbfpChqA0uRFBB4PwLP1fTm/sB8wV33/q7G7kr9X9eT
ZIpkiqoplYY2NrQxKysZAQQykAfufvy4R+S/XA9/uU5vV/UvQ5bmzV+uh9/eRcaUf/n11+Y6us1W
zU6mr+uiKT6bnesi+7X4/Flf3/56U696nYe/EoTZr9fRqja3w7u//gvcLbwtlsX1yugiP2lv6/H0
tmlT0/zOuRdP/XJdtLlZDw/hTr+9W65Mp1fvflndZDr3dGNqfW3wb+8WbXrz5R/hqvklL7rVTfPu
l9vcaDOej+Xtb++eXf3ul1+3P+qbaf2SwsxNewNjbWdHCNumhHKJbUQlfvdLWuThw2mCd6SNhSOl
w2z4H5Kbjz5cZTB8PTEdwoy/P5+72axuburbpoEHu/v3ycBnk39y/DvfjG4K9/47c4v1/Jfv7x74
1+eY/PVftg7AV7B15Als29/Xf3Tqj6J2uobs976aH4ZKci4kdxhDjEgHsHgKFdvBhAgkmO0wgoQU
m4++h+r0T+F0P2oLpPuDbwAhtUq79j/fpvgOsglYEycOxYLaW0DxHSooY9K2GWP07vS9+dwDtZ6U
3mD3koW/bFEPw7agejj6BrD6m56SetUm6e2reEGbSI4dJjH4OoK3ELN3KMMO5rZgYGI2djbw3CP2
OLXN8T8O29OxW9g9PfUWAEz/+Y+kyV8DPr7DMCaMMio4QRzR556R72CbIsoIRgSBWW55xr+l7Xpe
fwK7zcBt4DbH3wBqatU2yesQD8Y5I4JRh3AJ1vccM7ZDucOp7QCiti3WPvS5k1xPa3Psj5vb/eNs
Mazf3m0OvwHA/taG//w/N6s2XHWvAZu9IxkwDIwQc6hwOHkOm7MDcY1jKZF0HH7HUZ7C5t3Nq9Tp
71LYlwPc07FbBvf01BuA0Cs+3b5WmFtHOIQQdRzwhlthju5gyiHEYb7mJ5yAST4D725am2N/3Obu
H+cbm9scfgOAffnXm9U//9+rMEmIa9gm6C73otx+bm3gJKmDmMDEIQ9x7ylg99PSvxy0ub7W5SqF
lPHH4Xv5LlsW+PJFbwDaMx1CjvsanhRYCeFAKRFxMKGIfRMABVAVDl6UUIcSAYn5U2wf5vWT2L58
ly1sX77oLWC7alPIKRrzKpYLWQSyBURCxu9ThufJuk1szBwG/Gdt1c+g3UzrZy337Hs32gb4e9e9
AYzdL//WvAq8WILWYkO4lOChtyOpDQmJEAI4EnHuQH6OsHvb6D/BgB6GbaH3cPQNYPWUxt0bxEsk
4wdVM3tHSEQFczgDQYY4kLs/NURnx2YYpE8hKegxjtjKDf/YlP4rCetz5fOptPs/VP1Rmn8tjXfZ
3kyvQQ7gtcTADASxJZAEYOPP31q+I0BZlFTeCb0gezz3L3ez2hx6yYZefmEfhm35l4ejb8G/6Nu8
0zdJW0+32WvoUIAaERzZNiS+hAoCsDz1NXgH6iug91IiyZrUgUz1NO7P6+KT/uf//hOqxuPILewe
T7wB+E6L8nWyLGdHCogMErCDSP5ClgVEHEOaxaljQwjZSovvp/WzXO3lu2zB+fJFbwDaeZt+un0l
aRgLzAh4y6864lOTBIuF1BpzkLOoZDbdyrIe5rWx0z/uSr8O3ELw6/E3ANp7cF7NWst7jQoaBaVe
QubEbSh42lukDe8IBzMBqgciEAPtrfD3OLGfUz6+d58tTL932RuA+Mv/vU1eR0d2doDWQLlGQqV6
zby/UT+IhLYDECOhMHdf634aKh/m9ZPqx8t32UL35YveALb7t+kr1QjWThWUZHC4giIot4FTfepz
6Q5U6KgjMUMO2dI+Hib1k8C+fJctYF++6A0Ae7ZKb9pXcMrODgiVAoFfhoh6Hyufwkp2oKcBCq0S
QbvUWtjaRM37Ivn9rDbH/ngk3YzbQm9z+A3gtf/l35LVp9cJpM4OdQQQHArV74fOhaeYgTgiBCSY
yIaWFLDVrUD6ZGY/F0m/e6MtVL973RuA+fTLv023ye/3GfygtrVWCcCHIow58Nut4hC0GVG51p+h
CQkjakOl9mkIPb39D2fzskrwdeAWdl+PvwGsDr78vW7L15EI1h1868LAfT/llrBDd9aZKIY8kwPB
/UbYeZjXT4bHl++yBefLF70BbPf/+Y86W6W/K7P8sB0CmgwaMzmCf77RmOmOA00TnMIJB2Hb2bLE
/fY/nM/Llvh14BZ0X4+/AbQW9Ze/N+lr5SCIQOYhQIpDdC39POep0FVGmURQx8P4oVviqQNdQOVw
PbGNW/3jlOZx5BZwjyfeAHJLfVt++Xv8u9/PD9sZ9INBxviYOzwlM3gHMZtJaJGGtrJ7OJ/itZ7P
6ven87KZfR24hdbX428CrOzT64irfMcBGgJl0rV+CgXRLSNjO1CY40TQl+tvSw3zmvSP29jXgd+A
9nDDNwDa+1Wa6VtwQ68hwEHbCeRxUGayX1hrAA3RzrpVDOQbWDMCFHQD0H2ut5nY5ugfd42PI7dw
ezzxBoBbfvlH9+Xv+Sv0JUC+xzFghhBhbC2wPA9pcBocJPQtQI8mAU+61cj+MK+frWV85zZbiH7n
qjcA7ybTewW7hIwP+tsRqOJCcEfa33S6E0zhKIKiB/hcvl2qekhBfzJ/2Dzf1m228P3OVW8A34PV
TZG/hteFxXignGLJoOVTQAVkC11nB4wailXQVQQNK3ennxKc+2n9uM/djNvCb3P4DQB2FMLqw//8
IAk1DNDWbDDGux6NdRfGUz7KdsDVAkoUKowvwLWe1I+DdT9qC6r7g28BqHSlX6UMvC432bCUlQrI
EKAvb6vcRKEDAIB0kECU3DeJPbWso7tpbbm7+wv+OLV58SbbQL70QW8A1/NV+jpdmBTYqQNcBhY0
YGiSfm6AZAfMznYoAzbkAOfZqjWtJ/UnMouHYVvIPRx9A1gd17f6y7+/CjddN0dBFyb00rBvF1mC
iQKWsOoLShUPLW9PbXA9rfRPwLUZt4XX5vAbAAxSo1dZocd3OHANqOlBiYgSqB89t651e6kNy09g
hTNf05FNLPuaAv6Z9Xl3z/LNUqGHo28Aq/M2abPVa1CRNRiQ+EGvqFgvF3mOFd0BIsIFAmcIHhOM
7zlYd7P6Ew3pm3FbtrU5/AbwgjLz6pV6nIDsw3YOiAOh/7Z4Byu7bAxLKGGFgcTrmsFzwB6n9XN1
2e/dZwvQ7132FgDOdGpeq/WQQV0d9DF7veYcr1tdnqYHDqz/YjZ0JjqwCBrz9QLop/Hu7GFiP8k6
v3ObbYBf/rA3gO/7Vb1Kvvz7a6ltDpFSQqMT7A9xv9r5OcJAStcWzqGoS+66GJ8i/Di1nxXcvn+n
LZy/f+FbgBq+3DtfvTGkl3KzH6w4QQ0QQX1ivafENwaMd2AltUCw1J2TOx1887kPDOiPTOflitPX
jtJvmdDjTf8bInb/9t/D8mz6f2LXKptB24sNG0S80IoGygvhCKIngn0lvt2vZbPN1ven8zIsm3HP
pv64a9fr7E31/X2rvu7r5a3Myr/bEOzJ1lW/f/buAWEXs62hDxHoRcO5/7b2bn57Z3HoK4LuXUyB
lnzdbmx9q+cR7Ct3eomkfHOjW1iI+9s7wqCniYNIA6tj131p65a0/vbhDKyoFTbo2tBlActrQB3N
i9pEd7uYScJg/x4JZUYIp+tdzJqifTgFSipBsIzaAUteb+2zefbjIh3DIv/6RT38/UveZseFBl8C
s6Ho3S/l/XXrCa/dAF9vBQTToDasz1p3VZXXq1PYJg4ux//LFuWUJHqkHmhMrWomXKqpr7SXxl01
11FC3nPbWo5NRU5sJ+j8LpqImir7tJim/IqUvTmtgkpFcVW5WdxetFN9kPbBrkiyhR1HR8Qarhqn
uBlZGKqwRIcJDT9YibXMC+TmhTXTuV52muyakh0SgzM3H4VroW4PoVJJduPgYQ+Z+owxUbiNPS2H
oZhNRiwFfHQrmz3ehnOSW24Vkt0yHhUpHTcKOGxH98kOGjXq/TopfVQFKibLygm8aUwTJct4bo/y
tHf6mRjDkyE9q+NIdT3e58M4H6drkefLtA/3+xJfTHl9bppQsfqgIdNVmwk/KpcJOrTNTV6uUIrd
drqkEfOs1FISd8ekTZAKMJ/8nvZXLQtdEsnBdUwyzfOx9PoIL0Bj2jU2dwW9KvC5jQ+bhHkh7ZZB
go/SotDe1BEP9XzmjMadZOKzolBhqy9zylVaJYoPsWqRo5xI7spSqqLifpKyhdYcHqVVCZeKiFQZ
4rjdyI8zekD70AsDtOjDYL/q0nnZcWvXRGLaHccEvq4ENwdF3g2JQiZtZ2FVpKodnFpZ4eD3nVaC
6XNHf2y60RXOoAo8HcVptSvTcq+SRkVULxxzVvfhHrGoarLkgCbJMuT5cVLWi6iPVFRVKm+nSqWo
TVWi011LVlcynqWI7UYlS/w67JsjJ5myQmHceE3yuclSPyIHZWy8xFpZSbvHwuMwGpc8CD9EHZrV
GTxunt5UGfczg65HzPeC5lJEWXBUVzelNSjMmqXU9Wyo2ELK3uv7aV/T7iLTVGXMcgNthhkuzSoq
zHg4jgsRTPMhzbNZFsoPacXVQMpPeVBmqhfwTTCZuAkhhyEt51Z+aDXxoGpyYZj4jNvkCgcjngnT
ZL7lhKmaCiTVME69Ym3XeWyQHiiBHpm0cmKzQEG1Sqq0n2VjNqqm6uScFOgAUeONVdyqHrF5LeFl
lmWqnm4i+MwtXBflWOswetjb8euffz0vMvjvblfBx4PrrSEf/7rUiS5vb/Rq+6q1S/962ePWhGsH
+nWfwi3HfL/B5MZz/cjJH3PpsJT991z6y9t8fBsZ7m7z6NChXolgQSSksfzObT86dNhqBoKJw2EL
So7Ba28cOmyOIWHMQ5HzjnptHDrsrgeNdFD9vN/yBJMfcuhrZWTLocOOb+DPbdhG5W4bzOcOvQ+p
6LOkZl7FQy/AhW87zmLoKrcsQpfajYKSwSyWgUrSzwxdyzpw4yhXSXmLrcINqtRNDfKHGM3zrppZ
HCtjezm9GYvjoQ9qV2S5R7PGHUW6MEXv12OyrOhV5sQuj7JKdbxLvaKXlybuG2XnaL/op0XcxQdW
YPxugEhDJxXWo5ps4fM43Sdpvo9557eyzfzGAcumodu18e5k6Kqk8axKj2OE/SbIZhwlnp1T19bJ
IZbhgnWFH6Xcz8fWq8eucEU+uWM8zQbau+GAPjhGuzSaTzVWtAzdHpdeO4b7ppln8nCqcje2T+PQ
3mvTXdl0yuRXYcZcmtmuyeh03Ftg/U2hrypk7UXJlV0OfsfEaRTI/XaKDmFXL59kqXVh8jTJ/aoS
yzaIlFN0LmwnNUOlnOVhOQ+cygvKWcC5FwfHSOp5ZLhL6o9FkC86Ep1w2aushABsFR4Nlq32ehge
MKIyGamk3R8i+yROHDeHB65qplCp5yRCfgNuL8RmMZSXQdp4Oedu2RE31pd2vqeL2HN0qgqaeQGV
Kp+q2ZBXLumWgq+yVqhYhIBkDrifhLLwsriJFSEYHiCYV9F7OtWzKT7I+M3Q8YMQt/MB/J62pAqG
4ZwGtl9aDKYazEM5qqiEaRMf2ZXX62QmhTnqkmmGssOaNbO2uQ6KyjeUzVgF/qzJQwBAFIcFC23f
QeG0i3XE52PauQhX4GsPqEEqtMbjSha7wJ0teCswdSMchV4DvvCUBUkN4cSU45kIQnFKW7u9xWFx
UVnD4Ti0RnHdeiyuV05cC6VZNHnC1gd2MvgOjmdREniMrgIr3ivSYG8aOlWUuS+iUxSSGU/O0mox
Zp2jRM/0vIZehdiraSy8ss47l1c3Ub3CVqiSuq4umdUd8qaeFJZ0HgWJO0Z4xTXonP/jrkEShHZV
Bxjw9+n3g2j+6JwfBz145rtmIcijEDSSwLqe9b6ID54Z9i8B8s3A/UJ3F9B80KYePTNQbdj/DRZ4
wf4DIDo/Um1IlteJAbSEYfDz6y2LNgHrWUyFtOPh76dUmznfUG0CPUrr+ABc34GWJkg2nlJt08gu
kw2zvCatrcwNWXs7oMh1hrIEcqVP0qnyrcQsp8gsLD18rOLuJB/GBbfjo6zpFm2R7evY2eUEe2OZ
nBbI+jgVwz4L0wUxoY+b/oAPQ66yJiYuTW1logboPO3fW2EolN2Vc01N7gJ1127X53at2jD9UCC+
4oaeWqV9K0K5EgSMqgyLM9PSE03gldfTborkHs4jvx70oZNCDlDRdjlw7HM8nNlx6pGxm5GimJVa
qjBlxyTUBwXktGoKBw7E1TkvKJ3pGs1kyg8TlHopLg9pLQ5TnSzaMbH9ISnOLKc/oG26kkV/Suzx
TJLuqpqKmcO706KRfiOtRVOWS5qNBwa8bI2p3iNd7YVcrkjX5DMZAZFkw3saOJ4Uk9ei2HLLHgtV
he2sECYHG8btPmCk7IkfWQWkT/m0gprsklZAupspOQhYdFa0EE8slGaKar0a6sTFYnLznkaQVAxo
2Wd57lWN6DyR89anrBEz2+L8spMQPoqkdZRB1uCyqia3fYjFRTMQn4pmF8XBx5DXzgwW8TOVFWSE
mMVzHzUm8oBf3gDzJQoF9jwcs4+RQw+CaRLAIIujAUnLzbKcqNF0B7RG1VLYeevnNl/FESQfUxPt
WTWv9m1nqHYRio3b51HsxmlXeRCbxYLnkh00ohg+yd6yjkxhrXBEh1lWmtvaCj/FCT2K9FirSaBl
UCSXjUH5sujypFRYWIlwp6powIHLadGjgey2NNprqDRAJNiSTo6qM3ZV2E7iZaQ0fkMhkFLaVMfd
WEu3SXEKPFg2XmeJMwyR0TKTC3w8Uy2JF/E0GRXKJFIDEC2XhyXcoL5sksofTUndKQxiP8HJKYOg
QGiMZoXdWcrJCpfkjoL3hahiIhfcGmrV0Kjyp4jU/hhCOEkZxNx0aTpnPmTOXhyPgcqC4H3Rl7sN
Hc6nIl6YuitUkgVuZvGDsRAKOkdVCAhFid7rpuKwLZqjIW1mILP5ceW4GhfLXDbHQdudRqUolUjp
cRgm5xPE0or1VAlhndU4wAvHiQ/6Ql/ytr2x4KmUlOYCWo1L1dKOQcaatYcksio1FpADRE3dqyCG
d0l0ebTLreYDKtmnRkahkrZp99OpYK6T2oFnj9ZF0kZnpofXpItry8+m5BNDwQGO8KwJ2Xnp4FqZ
TEJuPQUXk93mflgWbAnZcjVzcAG5bSXbPdhfOle4KRtVWHTmZNHgwntzltntUUqGT2zoLvsh7m4S
1t5QNN6KJEjmCUqqwzGOz4KUlMDA8mYPKGXh8iBpvVDWkPjHPAUaxa5gm+/zAJZJe2UgVk1c01SV
U4h8llu1IiYuPTrS0WddcCLy7EZyuwz9tCkvmmxq3ZK0uwlt5GcUo4N0wrtVOLp1x1olptAoXdEP
XZcchBG/5rEdqsqho6LEXgEBZ8pY+rrvsg5sGpKwVAazjOIr2CO+d7Mg/AwG4kcy/WByp4GIbpcq
cbrLnIcX8J4cE91NbhXL08huFoUlIT3umB+jolZRHVmqn3qhHPh6dEu9Psw7JbvEt6am9Tptjtuk
vqmTsFdFbJWq6eWpMdPM6CD1HJTHKtS9N8YsV3oMTlMU517Yg6xCZGnNddcfJEl3zRNxxCp9rEd8
nOku3BVBdcwm/lHkze5498aGn60RfTAovbCG5NIZ83lWhLGy7cbrbXRuypQrgnPm6xxlKq3bMyfI
FqNuGy8pUuESal3kNI9cEAUy1Q0wFoQz6WEjOgV1v5vAEhCDLNAJKD2I29KoNkYGQkueeqLtBjVQ
eVHUkix00V4Erbwu4uCEw3LNebV+WOD514EVDIpkHTx1qT8UgxlVuX5dQhkvWZBZ85IU+1HvHLMk
Ox+p3C1IB8yYN6DgcOJPJPqchvZtRtCyLVHoctJbh6ZJz2SSaTfIHFWMtD+OenNeS7uZ46pvPJky
e78c09MmsC8Lal/1jMQu5T33bDTEbs6nkwwiqMIdNUswg0bleXyShAkFhYUMqkJd6bMQAiqz4mU/
snh/HGgFGg+kC6HYw5iuQmldxzFoNEKjCyt13DHPPslU74JmtXAG+2wourNXyd3nt8VaxW/+G6Tu
97SOQ/L8fS74bEOotZD5OOiBCwroLV3vTQTNOY6835T+gQvCOtL7PQo3DHBduIYWVdBB5d329bCE
cZObQ02T2nAWtkh/WOn2AwwQ+vO2cnPYHh8q5BSWaMEe0bBJJnzSUwZo5USLeooiP+7AQZTNtFty
fhP0JcQu05l923LAP+ejR9lUgzDGEehJIyR8GIzFYfEywgHQgATVqgoa20OgKSqmbQbmFHzotXjf
6zFRU5QdSs0/N7W9aGHxu9uEqPUcOeY+TzHcM56Ya6DjWhVOWRzbZRmqcsgXqJyQ31aJVyZ5kqvK
Kq4yXEBGW+tyr6utAyziYL8Y7HaRSIhNZoKgZWXjoEptx7EqHQ0+t+vOhEHLspfxTRaQWvVlXvjc
sNarpvFTM3YHbYes3bTojpghi37oDpsxKnazgnEPTQ1oyIVUdi0D8NQwjwTzs6ZCIEY45qQC2dOr
0rhSIuv2bcOkp1uD5yB7ZHs2KkGnjCYGtpsewHdV+E2JB2WLNFDcxonKxvhTV9TtYdEj7NFqWAXA
DmsNOupUiI9BOmQqS8b3ApeJB81drsW61CdFni6jmncnFMVsL0IsU6hvkEuAeaqhmo4sDrpmVvc9
Vy2GPTqrCpJoe6KdB2T2op+cwwh0XL+LQ9AOEyv3mbT8Me+1ilMLe1roWxo10rUGeaxJNSo+Dsyv
rPjcbsfMz+B3VHxNgfU5uhmBmoyHQwWvUNDzzDesMTMUJMeah52fZaHxMmD3SsTjp5HaczRRpjSy
E5UO+WXPJAi6qIdXSAwnxYhAaAeC3gl9HNVCAh+qqarrOnRxDfIuMc0yMOM80NNyKpvE6xLLeMAg
iTtYEPLDqhpdGejWHaZ236lyeBm4jA8r3h0mMSlBEKeDN4kIZs3Ko9Kk5ihDyVEs0Rx1xCgZtcFM
4jaa27Eg8yKVH0aq5zJDJUhW7YVuIBvJoooovA7b0RCd9CHowlltVlNSXlW9PBRTg1U1BUDUcAw1
ip4UKrXg1RtrcZDrcLjiNVI6K3edMGezCmVX49inSth9N7PqBCtSlJdmGPtZbiCXKURwCb9dAkWC
KHQneG1iGmm3B1VG4hRiI7xlJR1BL2j2cgLGY7HoJB7SGQ3M5YjrRZzo/WCoPw9O2qkIzn4Iqu49
CyG5GJLsDDYBOupL51yETquCPPanAmOflLaHdRKfkyG39uwYu2MAolUD1QmP0+xDNYglENvjYkqx
ElTvFzxVUYTO4nEIVFEYP6DjkmpzkUOpEXSf0s97kn4MWeUOFSjrKR4aV8ZltttaWek2rQWRfwSh
y2nOOgxhLDX9bT7iQoESdmngY1Gb0Dn8xM9hkfSJ63TJPB2jXVJOH6O0+JCz6GMlzFrGDwIvs9gJ
vAKlKuoEiIshmZKZuY2ZPLVkbuZB06R+ynE0DxHo/1mBbuqeLmJtgTsc2VE0GOFlo56O6truVQ4s
xYW773XGRsqyQAHXQwjmggeuRN4ubMeyVBnXk9vzpPC6GNynAcWxajJ9GDvRNKvqpna1TPbQMPgI
ahG8ogdDTRuFbLMwfIpVHsSeiHXmBqkBpl91B9B2NhdWfFREYQkvGw1VUDdeGml/HKbztIwPZc68
EZm9Ju6vwXODRCr9Ie8XZVRFkPWFkZKxhLJKu1eNI3eR3fqypsNuW7d6PiIo7UAlcrhyRJkt41Aw
186beT5ZpVeFeNllA1Kg4M1Dpz+zqK4Vje3+rBTjAhzboU2qo8kZr6eRHqatBrmUJyqSBN7ljhKV
RM2tXYpa4UDfjml2CKoY6AGiPByjkqu4sKA0lB/zSXsBp51bVk6hgnH8bDIGTNogqsBPaa8y/aVd
A7PHkZtgAa7ZdlQSBOUuL7mlUjNk78OmO7JNN88beSqs7rOTk49hVN/ENMvcInQuJVReZMT2nDb7
zIV10VpJPmul3HfG7ERn9ScRmxJehDzaqxFkHN3UWT4U4Ro3SMZ4hrQ2Xgk6u++EDO1aOPpcjOCb
dGJlfo0mpLJpOAPv4sL7ha+gjlosbWxmpZPLfYHMYRyVBw3NMCgA6KBh5HOc98I3KTriY3Het+M5
8PBc5UKsxMTRvuGBtYtjdgkOmsG7jy85bg6TEJ1LYc0TsMpdg5zrjASZSobKdxIyB4d+qaco8bOY
nUW4XZAw4OBxQSKsxswVTZarAXX7xr5iVbAHVh+peLIhMeTArVExHA4MvoSg1xdB3lGVJHwFHOIM
U3SUWsV7KCnNQSDy7b7ei7N2PwmBu6P0ukJQRnSGHvJd4TdRnaupRB8NeGjVOAOoP0a6CI25a9Js
vzLhwWBP+dyQctmVkFckdv6xbODVyOPKLEUWLTMNQnkeBi5vqjnrIHWN6jJ2yTg17qC7j0Mjz7VO
/WK0563sTrOYaleIvvaSvEn2KsYPyrLALs6zeW9ypEB6+Wgb8CrJWNFdHfe34GvAfuu4cpuu+2RG
CtGumHVJhBTn1hn0xZ+OQXtkMGioyBml6zCo8Mb7nCcuKt6nw6D62po5DU1dJIajKerYnKUQeE3U
f7KaIYTiA9AIrOcYZchr4OFU34UOpPAFlAsTpto+69287APfnlCqYgteiGiK3keVM7lh29gKcqpk
lmXa9kJdQjYhyuXEJuLaErW7rU5uLCn8tqyQT1iZL2uefx6sdhlCrzcEaOwbO7+sw+B9XJFGBSk2
Hiwk7hQzIG84wIO6tr9kY3lAi7WrLJLSS0rnIOr0J+A7k5e2ReTm62woMmRm1/0n3sv9Ag3nHZQi
FMNlflLWEnSOsGo9u8jKPYSD3i1ob/ZiCYUca+D6RIcJn9VWqUEBSStPjyD/pZGAam0RpIoaOvms
yZdBl6E/IU4fbH58bjvbeFon/E7F8b+ulnj99LfrNq1Pd7kF+90a4qaL5okwvR7wJA8hUC7E0DTH
oMz3VZJGO9KB5VTrXxeBRue7xW+bhETsIAGdGtCGdd+H9aT7w96Be0ATrQ2N7PeNIT+QkMCmSdua
NIMN6UBEoQKacylMZUuTRklsRmhDcbyOTfMob8tFbaWxakg6+BY14QJoY7iwEEieWbk/yZORph40
C7ipmON6dAOzV7d7wViemiCAUGn7dp5Us7wRFvCFTomiISpucqGaXKtEdpEKp9bxcWsRt02r1sXy
/3N0Xstx41AQ/SJUMYHhlXGiNMqSX1CSZTGAABhBgF+/rX1R7XpXtjxD4vbtPs0h4clpnsUgbn3f
u68i9O4D+DrQXe/7LL080H5d8nXr0na9WFI0FJs1W535bFf/rW93J+vr5jAPEL5kTUdLk6qX8tY0
cWp7fzmPnX+NOHlyTfjWe+AO9BSDE+HUvVpnu2h8mlIeJOwckhGzornKGhs8fEnXqKDE7H6PQjKX
1Hpw25y1WKY4m32ZC5V8yVZ97uJz7/zvOljKAB/350+wCPy2XIh+CafhGGy2Bfzh02wjvHTq/qEN
/LswlPDA+n/C/TC932VDsmvcojSzCrve3LPPuhnO4fDVQOavhN1Byj0oSB6/2Y8wO/J5eIuipvSc
GeGBl/MoLsfAr+Rk8ti1VbiYzN/JVQWqqFuc9JvwL7OL9WZC2gbwJg9UfXAFq5LwhYyRKUYbw7nl
XS7msOpoCOWjv+a67LnItnDCPB4VtrulShzxOsrltbvEnfOvjdTt90WeAL9gxfxaEpovjT2tyDul
a85aegW3SMWiJiV++KWd5jBG/aHbzpEOrkFLkB/CvGtM9NaT5AgCuVpac9C+ny2Bd5wi/0F30e9a
5+dxwDIloorgqgvSncUH1mKj8sPdO/X4n+J14UUsl2xx9WW0MP2inT7yt0S+jC7PdySCTXfrozqr
Y3GuccprD79RH5Jjy+UxESJtpKlU8F53AYCRbbeFtmHWQWWRVn720V5GDTV5Z5PnsJ+88+CTUnhR
nLeL/tW+7lkHwYvW7WlHxD7cCe6l67z8BRuQR5HFRvLJHefIjf6eXmpVn5fZPA9Ol6sxhqPUqJwM
kqTad+Yy3Lt76qw/jKgi4DAZFVOpFypTLDM2p6lvK7+JH9hC+zSonTZr6p3nsoET3zv8vTGGZ5Mb
/JmpSwui4VnWu3PRZmwqQIhO1tJ2yEQcDeWiJFIVL5VbpQeZGQQbCJucdci2Seca1MCqP336R7Jc
s6923iol+u6om6i9c6i4CMRrxy1ROhWrtg9yTKajIxdY9+vY56xnv+GRKBEWXJ0ZYFQPYCmf3XW6
i/r2Bet08Iy1NXha1d0Srcs5afTDQljqTFOmEWBvTja4j0nRG543I76f/9ndC7iyc0P42axY8Rv+
vK6Qr7r5q9Vj41wXCA0JDUYTfuZBeAigxWOW7XKHo2Be6hm2ZcNTG7WIUn5GeC0OJEEIhqdZbRHq
FwpxSLs93dz+MpMhmzbvbsF7D0g63WVWe++bmxTWA7xQLLWtROQ8aW3yHgKL0k/mTOXae5nH/0qp
jvG4p8OKVMdTBQtYHsciJQ4ORwE0KGQ3PV/DATiFaqsY8Ti859RMJFvFkzuCQsKOoKMp76OumL0H
I9/DbcAV8MdHCIKUPNoBGOjnZT8PnGVQjrCmIf6d2y4f5oeZjZXTN1iQYkiIF0J17oVgMO5Q2ij1
7/rjkipqnEq4WBC2CXLiPvGbjCCi8OePxri41+wD3qasXWC/4Odra3+ppH/YsS62w0PjxDcFYG93
s6YVcD5+84tazDgK5JsczbMKnYxGpjScl9Pi56SeysElGfXa1Ce2y5ckeLVdXzoyPpmuhzLN254V
rLavwj3oESZC+DMH+kRAGuzzDDN+OJoFyyN04SzfsXYWdnprwyvkbNrhP5hSkq6cQGvZtr+L47Yw
cVtttn6tt/bGTXLs52L1Ty3/O2IviOpi72glKM2EJWAl3BTaMpvbJNPTnGEuZm08ptEMBW68tJZ9
tqhjv5wQgRS/cM0o3ra4fVosvDqvz3ev/hDrpxixpQvvGIaiTmMX0lYj5AguIMrGWlW61ZCbUeG4
WJ5+RiyMu/2Zl+7vyLvUmrDaoObc6HkC9LIYAIqJ9zBpNzWwQLTnZnjjU8pVivNkhsTkEUQuTpNA
/Oz+jglAQabZEV4OkqV5vjbdmsdOdxxn9dBtJDdNXtsQl1VFF6vS3Ut+Otp//P9ryZ6BmrTl2o23
ULtlcDftLRS8Q5bUsWzIRgafRQRxl43+6JVIEDJvM3ilmle9+yDVpoOdepxBPD4sIBidmj/RnlVE
8LsN9osJ/zD3g7n3RmypJ7+WBVIVM3iH+bn4YHnWr7l9lQsCx61OqYeTFM4Azo7UWwf56/Ck47Kk
W5Sp7knLNU84vUzeowi3XPSvYfeOO6gIZ8Q5y351hrI1R5c1x3qzcOnUF2+GisqlFAnc0QjBWfvK
FnFRLUDH1kvNJisbs4umH5EwmXDw0mIfd1YEvoXUiLkned+CmdzdBjxMmxIRYs71/GAjcZqMfxo8
RF/gXhk/7P5crctQinC5d2yQw98r4vA8k29EFCAiMbLoP4kjT7W0jGe/NNMCKWHfxSJhAk9pgJ0g
wT3tglcdEJ0IgzRiypUzHjDeq7VTlTXDoZ/DEmsFJBtiQzUchadhhOJtcyb+xfxKj/qDLkku92jM
lJkPtU4elXFBxmIGCQzGXWfwmy+dAj8gkp86sAfGnjrZ5Io6eSi8xyvZELQMQfg0s+SzsdtzKLuv
bcUF3rhjCX42a/CZAVfBk2qLyJgF8qmPcaEijDI4OgVHgu38gY6BkGRd3WRmXnAM6PUGn00XSuGI
3oI1iwj9tRLqUzRqnsrvvTPffRLUJdX0ZayDG0vG3OAKiB17EDswTsLoqdfmssoQ7o6rH+t2z9y5
aiyM8rq+9NHUFv0Qv5OhA8oah4cJiEBt6rzdCC6K9mmN5ZgCLP3u9Vxnyfqr5mKKpPbF68Z7qMdD
Le1j5DSXoE+ejOtm2mzZlGwlb7vzitNx13ejc1587wem9PcidRHNW7ZO9jRt5HuCr7QPHNbLjPNj
xHGwntVgQCfF78G2QeIgdz8tsHqGsAgbJVPNVDV3f2nn54nsy8jCCo3Ht5B/r9o/+IigF2Yybyap
jSnUMn6D1RQrrTPVnwMLq3qdM90o/PXgn4p7Y79IO6S2eegt0DQ5nNegvwzalCsZ7vFAwAbULkY5
7FRkxhofnZjHgn6w5Ecl6jL002HjbbEAfoYLJuycdw2uDYCCtZzOZH9tG5j6+KU9xJE1DAcc0rgL
5l8bKk34nkbMvwKKzgT+AjHPjDdUI5iqUT15iX9QxLxG0IcsYmDD4bTFaQRfwWzdtfHDbH0dmzjT
yXfbq6rbtnS222EfnVPtAJgJ4asPuGyevZgfzNgfmWtLwLyHHm+jiEVmtcYk7p9DnBsW11xLP5WE
c6OOe4DT1QUzAu2dyr7P+W7OInrq1SGKn3fkEBa+WuLJDLZDRm0Am/k3OVDPLaJAfGPZq/AhxO2f
smAqt8hmwxpkg7PkYzC8b5TkrP6L2/REAKvPe5etG1wtyPjGXx6SFfqBBUfpDvQ4iuHec1YwGx7/
xzc/72LzKHya1huGCWxsOJhQMdSa3O9InRECRG2dI/6wtqBw2pC3vwgEtAW6s6ewJ+96QPQOPLPA
gL+N1n/qwiFnjK4pcQ0uxf4lhuPDZkiRv0vQw1m7rzmieQ3pFXplAG8oSQhIO2D17NVfIUWhrVXz
HZod0Pn6K3ISM+LEBtSP1w5HZ2b9Bxog1d28rCHfkr8s0ZK6QwN6pCt33hyd+Bjg4uWYXnisYZM6
9eeyRFAagOCtC/f44I2P3JwW7Rf4mPCMDYDbA3ulwaVbYdnLc6Liu3C8jQ4/Emshuoas3dXjBo+D
RCzjC6QLP5otSbmzXnG1F0riToloNocUUbyXJ3bL2A58ymJnA4Jq2MtodLmDDucdyHysuJ5bZ80u
76N5zVqA5nu7XMUVbCOGJQYL5hBrD05Yn43ztoS/4vew7csnt306s/XYWvNYU/dCh5+6g9PHThpq
Q2GoLTgstPzpP3fcmy3+gnv3bFh98GlTNZ1IByXyScZ388CudQLsHSunp2HjLwc3xu3U0fNcq8wN
SSYhUsR+imCo995rG7YHHr25WJZ69iWQoy1cH1xFX4ADnbDU5J4C7sDLVvV3jayLSD66wDEQtMSj
ygb/7yTBCSSf0j1bFlcibXvo/nIvuf+MUvatEy5y/6PTcuybt1W/DtBglF44KgnthCCCvuu6KfYQ
E7tDHrngVWUiW4MYtmCXijCLgeOb5VlDNjvdnNY4KmbyRG2fbRv24MErXcszDcurn5PU6d/2kWMo
x7nbY6SaD0J6rKf3Fu9PF9XlDtc+YEm5oPuh5g3bUl1Oja4GR1SIgISTfGlw9l0f5VbuBZeHDvLK
s9eB11mI7oWds8BH7ecr5OCe3G/0tEoieebPh3afqqhtj0jryj3qC5rU18nbsniBXase220992FB
1XraaZLGHnj9fYFpu2fh/hlBwntoh8xGVCEEViTFoWkNlOSQLQu2nnm+hAmEIY4de4nlI20JEBeZ
hoiVguQ2TVE+ev6dSyGqSX+XNMnHCnTDMI6RDFMPssOCKIHne+fZqfzlYVe1Hvd1Lf3+1Qt+pn6/
WhGkPp+qofHzNlAQW+jcrBtDpIXYaFHd0Uum+041spxGlvuafNGufejJUBmGU3IjNGc0AOxBCCta
ET9ZYIEglSoz6reI4iwY8Qr2CKSGbh+zbdgepqjecq9LvHxbyL1ddek4418RvbTyt3ASJ4VyBfgK
do7JCH3ovLDe5iGlFTj0wqzixPyfaVMphGk5R+tDlyy3CYIz6WIwybwikz1spt+zGVRceAG2g8EJ
+x+HXxDPVd1iv9sSjBZyGMP11zZ4sJg+0xZUC4f+tvIBfllq/87LcYfv4mO7mhGddgp5Hk5n5f6N
6Yop1Z98C3Eoh2ONVyhNzMeGs9Wr41xhR0jo2UWStO9//T4udipOYFgwOz8Nrg0Hr9sgzwvW+pqZ
fEA6Ovn+nUPEG86EdLJHr4n/KTVXWzDmNIF71WlUUASaP8CdZnFuagTMy5qRgReLhxTM20+2b+6Y
fQ+16hCagM6X7+jqYOcZwBRsqQ66so5oUfv2eRfxsfGnIgB7E9PnPl4r8Knptn0kAQKib+t0FbP8
MFP6MK8cWUVXUtBA0st0rTGAQHFt4y2CG1RLnoMGuLZk/UR3GP6336baLsUGYCm6R5PH2woFwKzd
Pjdsr5P7GLvgEMlCD3wAHrA4oty2pEesC5aqlgUj249UqCn0yxjm0gl1RgFm2sB1ztcWB9yPXoqa
OMfncHzpom/HjoXaIDsnD68KCVnRKyyujbeLY5O4CHeJBevOL008/vODf36H/DTglwirtkG1R4Es
a2uG7QF7f7jvUCPRLbQTqmM1/rTtT6vIK1JoTAYw3bi9EQhnk+Nj46/WDYj4fDIj3KxxKMPtOGhk
8H3hmAGi2FZkdU47gUcZ6p+m7qG3g+PqndTkoNIFDQYzdBO3dgyeRh+dgeBpl4Daw++O02qiB3wE
V0Vi4OgBLWL9EQZjSniHqfuAh/48hrgPTIAhP5i8rgOd2hAgopT4OfqUhs4z84ayryFp+yT+Y8c6
T9gJ8XoWROq0dPs31vXU7BJlsuQZjY8R7ELk5eF6IePbgLHPCPK7+QKKxCNNiRX7/0npjN0bWk1V
G2DhdPoDlT4mMBQE/fLatUt7W0bIdQyKc3MEleiorJ33cg1+jL6GJAIvugFu8N0K2v7OTL+GLFa0
aH9n2J41ZL7riVzO6oh1KFXzo9dbsCyFxm+Eq+G2DEBOVWM+Ez6+1EQDR2jxZ8Ukepn49Op38+fE
t3/jtKT+hM1s7zM42L6MMyr+eKjeAZ6rRe6x+hc+KPF8UPAThxH3CpthZSBHBGh72qg9y1WnHoQH
bNhsoNObHJIrYpozvv3sdPx1w8roeAfPJIcwudhuuUQWFvVyNYJW1vUgaJGaTgoURPsQMACT7ZlC
AzfLGy9QvICcHiOaMtFfp+012LJg/kY+faenZwEajmKnFQHkcrRn3ARPYrt6WLb8hp29dtQoto1D
FnoaSACdMmAJB6/WzSF2+cvsoAAiKOANcfY43nE8YzWV9CuxyZn0SZ6M6lmb/nuA40M89STR0Qva
upivY/d33erKhXuWNFHpKthIcADksZmdQusIDMaMsCzJV8+eAwo6ELNxtiveNAjY0McuO2Rd9xDw
19kBcKGb3BtfVRMdmByfDbpBjvkr6J/ZU3dD/4GX47yElZWvNHjhFHdqF8B4+BQohVjgvmsXpl4z
prODbK3R15rCtE7MEVsy29anjeOcUEGcb3HW8zFMey8pux3wB7qeNPnThQ8CmXA8/UW+WnV7jyN8
qSJ3/EcRAQf9yTJz2DyahnNSzlOMrLjNXLxFXvI4T2vRku3F1xXIztzp63yBOOEUGHwIaAGbVTuA
z/xT89cdO0dD/yTIMnXsPjCis7n7JxEodP1e9hQRd41EJG6eksH5brf2GC7rdFyTyRTSpchLwXhZ
wdNpjqrZBaaz8temNyc7eFdo9NvsTSB16mgDP4vb3h/C0ywxezdvJ2Xfg5NlPl4qFxx1KXnsnayH
RMP1r11M7sY6fm52pBBYxHH3ieB+Ai2yEnlVel5/aZLospJ6OHZh8uZ2i7prO5wMrXwXUfu6rPuG
80WCvCyNbRsYGfZza9p0n+QJQ9M+zICyMxATbxGi3WKPOsjRxD+KPgI0ZE3le1DNolkQhOIPiMf/
5SQKRzimMFBvROFEXpuytcetmU/9pFI5tZVs19/vLpxJFTLErDG1rpBbVXVsT4GKUuHUJwHHiUg3
nyMfC2j0BrcVbZswFctWmpUBob3xqHu3HjkCK0OlQvawK6b9bRAkMw1pzv9/gZvK0r5zLh1LHlrf
gVrwLnSa+AHN2zwJ24pAjNbglV22Xz0G4lg35ej/3TDxEdMAvp6Gam06WvqOd5+EwzP6t+10GqIR
1LSMv0LUs+RgQMizPvMtyGKNO5+fByHfp5b85YsthhraBw6uB0u0JogwRCMwvTvzYkyM0uoKIlBD
AlpPgpIdAFzBdFrmwxrTEqWvEXS8PNJxhSLFYPWbfDanacWYm7pzE+IIGkw2s+2CF/5igc637btE
4pZ0NGvUiEacV7RAwEeYzx6ultFZK45zCPR0Pq2l6Rsnp4Ri+ekVxKrFDQGL5zpFbXck8UpTb8yD
Acsyqr31wZoGOI5EDZvqB3ckoIS7BWY35hdpGENFFwijsyQXFjj9eY22+4VM+4G5C+q9/Cqs6z7b
37vYhPIAu58C+7j2QTw9822GlcThCrsawRsHFkjq/bhpAo/aJLC4QoY7o9/CAxE+inyzKj0RHpSF
YbhH+AHaxmnK+mIoMwXlq6lQehGdDR93lEFGHv31XYRjBgnTHT8uIwtOMZMXa0rqolxs+lyMI7tX
O/sw8zSDKcI0HyPs7lNw/v+Lo3C7kxFLn9Mvj07rJOdwFy8Bf6mHqH9youOo9iGnNX1AP7yr3CRH
8wQ1bK0PTax/UM2OUbFcj8Lt/XxeI3qNxyAdtnU7LATvz5jAMQppj0GZ6Om0z4kHcBxRhUWwoUd+
2rRlBWCOAoAcO3E1oJoWiSWrF9+e+AIAPd5w2ntNXUmGKRDhtciCAC8hx9VuouGFNtF4TPR4QTmf
XfDwNNy9UVARM9IKP9rruqyo9XVo+6EOCwjbvSSEgfcUErd1j60WVRcaQ4Bv4R4XNZ9GlDF3eAe/
NKodtUh3zbuzEigYRODkEv8H9ROvQJWiTdkQwnU06jNCutkJOeR6R+U99rd7Kpb4xHrSHhfW/U0S
XJDrjBdC/dbTLS77czwE7yIJ5CX5NaF6CL5lQ38c69kOE/Nah9BKHGpT6XW/7YqoYwPznMUgHqPN
ee0V4PbJ9ZzcRIimZYDrWjfeQUUN3jkvqZIBqV60odse/t6lU7GFwXoaOknT3o8UHOckqZa1vRKQ
uJ3c9/PN31lz14m96n7jrrZuv0KT+CUb/W/tfeKtSF55bH5DaS+LazxkIKi/+5okTygsbIuA/BZT
KVn/DqDrGlFMAD68xpoEFZpNH612V6B74Zx7AX4g3ukFLyd+0LH1b+2EczboAn7gMZLL1ci24tcG
q6eAiZF00Wsr0JUhy1lHyLnwQTu6Sub+dVX4PuaQLZtjkG4zn86mU/shYC7wnuZbzeIJSj/JcC6b
tI7YrU6aTxBZeNaBGXYIMhhzI67CMWAWi3Rz30sEZ0nj3RKxbxk1gAOMal60v6IYu9IrkhZ2WxIP
536H6q2/QgA0OwK3uhY7xKS8MaD2ZZKMn20Ur39mEE7Db/kW3NRwWDzy7kcLgSMNSRl6/GK6FVUN
XnqrhnSfG9x1e/jEY3rrG2BMm0QjuPbWIxCwOY1qhO+TaBh6B6Eo6IonXxDUE5H72B/m7mWAK//Y
D3vuWJwszer/BIjIoUS3W+0TdNxmtERHtWCdgR3x/xe/icBOmxEebnDbXBOcl1+vc23lX1LPP0CX
Gv/Jzoim2oad0BeFLAWYCCXnNwarOzutmNtwJxYP4MSy4/QyIp+V/7AReFWsh31rxuWqw3xdu7jA
U0WAcAp56+J4ztouUheB9NVlUYbjEGvsCuCWLHXWqZocCZ9mcMJRwUJJCsC/xe/TDLjp2rMvCJDu
kR1IqP7Nu4lgysnxMV4J/MeRnHanxrXWMFI64QDWkC+v/sRGeEb8NDk97rN1PBNkrTyOsJRRteXh
Art2WPGgDWDnMqCYt62oq7irIVTWPkskesIk7CpF9he0t+59xRLMEzC+gjhnPZ37X1QQZ1tdbMYW
cLzESa/joZvUB3PolrO4/kKyBM2x42IQoqhtEJXgRD7FMLKSxeONNa4onLVBoLZPQ1ZTBbmERdrz
4aH3PF6xAfonH5BObnaelJgh/0OqUyaGOANrhxd6AEA+zRtFV56K3K/bd7IMueBkOk5T/GZgNaXc
i9VhxSQTbGX3LigVDzZEzpfoCQ+xeKwDAWtu2I41qMg98iX2Bw4kYwvDMlG+gyTEm8p+Ala+Gt5k
E6J0NDxRTV7au5gvR6exI6DNGRXpKf69d333OfRZMbHNA9T229EPoidC5D+i+fqoImoRLnG8JKr2
8LqgRi5iIp+8lrmPFAtMNi6IBzZvDQ+j8qpEUnoexuSIV5BUlgmwM4m+a+L5hXTxcpCTsMBxqX/o
E08cDE5b4DqCnqI9JMUsmz4TMkoeOl0XI4WHDsvBfZ7w/E3sgfx+9JygIPNO3yUtO8XMh5fM9CB8
kDp6UH+ZZvXH3ok/RH1HWjVXu4/2uR/7JeMr3kHe0tdFT9Gzb3FmM90ArPn918EmBvvnuhQkaJ9a
4eOEER2kUTsPB+1SNAIN4rlhbt5xN03VZIe47JxQPrcjqyCKEaGh53YKOcdfHXhz6gJLvg0GXQyO
ZkdZ++54g0LO2whzVnlBe21M212pYDZnpNky1KtGeC8wNBLSuKf/v0S//9SGghzj5o5SFZ2cScIj
djVsQdb4pSucL+Gpxk83icxlRgRg4/Uu2NFB4gE7Yai0t6jzDga+86kWOAkmJFtFO7r03DW1PoPQ
4dAfkbzucT2ik4EvAq2KDF3I9sA6TNu1s+QunNvleWtY2QSJfd4C4DU0/PRJ1zyzIECwzUhUtIOv
0C6YaK5cDns+VO4JREKXBpaaaqPTfpZqvGmXRHcUsYlZSpT8vNMwwRawE1bHdu/5g9t41bhIwJHj
hK5adxpqrJqRx/MlRFuqXboGyEx/mFat7wJsd5U/8g+0EDNmPXFD8Qq4ltPI2z6YHzE0Q173KFCw
VsrXvVYqR3Uuwm1Bg2PdxGshvNLXO5y+CDysN5jpWY7Bx+YrLG4SDz5YMEZeadihXd0t7jFskFg7
Qj1OqCyckwXuUBzKx5hr+YhQNuvRVcmmwJkOHTXRc4y5VOJZArqQkYT5yLb+qNoQrX8vrtOuGXMQ
W2vZt5N/COHClmoY5sIPQ/c0+v3PHnTNuVsPrRPI+9kbd9Qx9mtrrC1R9x1PkGsPYtu80syYPoMz
IGpTurmLf7+E2v+zG88WDWKpeSLsfh9Gcu/+fuFGUeDYwUuH1SAzkFC3uXHMzetCeE9IkvCZ0Nvt
/1+PI4vlVdO9xJMxSDHMPEonGsHzcnjgZi0Hxao1FVdQa2e8F+YhDLV5oHG9nT0SvKK7mhS+gyHC
h2S5BtKs1wHPfzQp2NiqC2e09Yg9gNmFGzKo5OLwFU/7gHYp8JCp2c+6FdVODaFdTjv175LQ+vCI
mVeG0kFuv1jvdfLxEA01iYMcuujmW/IvQmCKqdV799SAcdVTBztPqz8WFvS4TtgNO3tpTLJc3BGd
5wWuJ0I2oQ4O33s8QmJe79wW/0H39RsShrncPEs+Fmyz3T7fDQGk7LbNoNimGck9+ICR1WsxoOt4
MnNXP68TBUSESgSFer2ie5TgYVgoHfSWdjnxQeXEs3d0B8jscB0Y4Dv/fTHrfK9i+Fy1wPM5TC23
i6TINAa/Fk0OADJCL3rc71CYP6z4WLW0RXPgHg/+81BuXtp7f2VggKM5b3axfza7KnBwsze0YsHj
cDCHuH+/8EQfyLRN3XMWbq/RjjGCCXTo/AT9U0Gjm02W6JYwGNV1R2DwdRS5NUi959pH79Dr0Uxw
ASS7wX7GB/nFz7ILDtzLQb05VzovUGUAxLJw1th91/+4O7fl1pEr234RHLgj8Xh4p0iKum9JL4it
LQl3IAEkkAC+vgfc1XaV7e7oOhEnTnQ/2A/loiyRROZac805VkExUbsTgt4Y03SLRuBFG/Jdkvmg
RWzV3E2Dbo5GNOBpSiyGQwhAN45u5SuJy7UgUduDNrjMZTrdBTkqBj9S70cxOZcyHfdd18U3qdla
+9Zp35OILKnBhG6bBy0Cd5iVz1EatPeU5E9xasiTwre2w7dOAr9qi/2Ih2wVgQw4TFF0TTUlaYFm
MjZVuvWdrDzoanzM7eg+Fi2Ur14w53Vz9zVN7X1WocFPHjgYVxZIPXbUMhAdPoOmCF7jUF+6yL/C
tfJWycCMIx7T/EAwyFrHuZfuiiajcdz69jxdBOG3HG//LlHiqy3ch9JTsGrmYvGbD5uSK31FVu5O
h/OPUtK6+nEgIWhFYuMYZbtpR+Y2CgfFSnEv7hI9vZojOQBeuGpr8yrT1L0SW/xhR/XPKjLf0n56
4Q1K1xn8LuR45zyBaljFNaOxutC3FbSZZ79UmyTU7vs04D1H8woIp6CWx2Uf3kOU286OEWz6Whor
t5P8/ZY82mI+U48kO0JgjLaH4c2u+/mmXfAzbeE9JcHQrY1SW4zK/EvG72hkM/HopPL2hREzeLXO
guTChpgRXrJOA17IES9KTgOzj6DqaNoPWbnzWrUmvjbbBA7nFcW+WpxfeZLQK/Su3nVOXZ7dIVR7
ST3rMkKLYoP5ipds6N3btcwB2Yy51HsAecep1LedGDT/WOTHnMhWqLz7JP6JlfalC6boIHtxnkwy
t2FPpj7h5mxjE3eL6VCgntos626yHI9OP47J3Wg/1nFdHlyN8SBQwQULkl5Nc62OUpQ4dPvU2Y7O
Og8RER3qcbx4BOWQyuMQlRBwhyg5K4iOBbSnazPInd1k2/GpYx6/LUwU7nIYnHMuaR4HUWkqtNZZ
2xGar9c0J6fO5o00cOpU0VFgMbtgGn5Ims5CzaRZ76tCb7METAShocUK4rQcLIwMRPLUtlF9GbEL
MD8qva1tkjU0k97E84KHUwZOvvIKvs6TlV7LKc6uvbhVDR+AizS8GnsQAtpY+HHhDDWIeaVXINd4
7nQrZyG24xyQafN2Hr/wObV+TrVT3ebS+NmbfrdTU0AETgft1pknsSMr9THCkLop1XQswnEvCwRg
VZ1JMgz0dz7KhQkTqTar8hjGw40z3A9jOTHgdv2N1RzrUf6cfVygYnyvF9tM3lhfdmZ7+I7QMLMM
D6RKlc2/eDXzQp6MiCmCcIpybTMTOwcNdKsiU9nWKMb2JhzbszmEVxJnX8o05DaaGOQrBEsgFLeQ
Qmx8oFyM2OM8UCeMmBK0Dx8hZ6XcHrUoEc9gkuQ68rFbDUgiuQKiItTobEVq8aZZk/GI9LTKwimA
eOUWeARIsIJF6E7oZwofMGquNiwIAhblN8qIG6RM1mbLWJUVpKuuoh6lZ7/turlh2uNvIjO0djNt
9MEYHX/X+N1zO07fTd+PZ0JV49lY/iu0jZ2UfgQIgWxkTnm/A4EYbxPXydfC8g/EUppN6TtPg1Of
KZfbvTvRz2hYU1vVN/btbNnzpctf3bDcpm6U7UYzf2BmMGKVmaZrqxU6Qda5e+Araps5gbOuEemy
ygYHJU9RHHWH0e3J/WZdu5Hu9O0WRnA/e424N2rt7Sw94teBx9R3aXzUQZqsmHG5W6swxR4h41jm
2joG0lyPiJs3zlNMtOvsFf22dvs3aB5bHKHWKpNfHOTVrhEk8Etv/JkJRuuZdD49/xmyIsMo0c/X
WRwz9Zro3mdaIcoFqbG129TaFpPCljmkOfZISINOX2FLpD0eTWwVEFFQxLnCG9ndcpyvsP6Ox4kZ
eu5Tn8zRLwGO8SgtwFiWla/n0jLXpt10yPr02zKClOX+MD1ME/bAJK2H7KKIG7hIeKmPfbxvbktI
C+s5H5dwLYYoA5mj9Vw6Kw19KnOsaY0Gib7RRh1WDm831vgN04wj0GjKk3a7Bh+RBQKyyiL0TRoc
q2gQdjuCR41du1gFslvOLr1JS8bdkXEORWPdWKX/aFej2Cup+GwLsQt1QjbDIX3YlN0j489oC8zA
WHkx7Z+T1mclInAhJlDPij9E4MHyqSMNoqZri5z3nfrVuzv0dPtSYHdBtF0Dhh/3hjGPx8avXwSS
0l7bODSdxmEehS/DVsslTeFezTgp6whGkCq88VzZ5fOg3Ac7S9XV1cPJGeMLZ/+73c0fqTmnx4i6
biyyc7ekE6wOMTdfZtx5bVg8MGve1R0hynTnVp8cs8YWIkgKssSXB5r6c42ocDNQsGB7ZuhmOzNy
0obMQIt9e8CQiCMaL052wqxdHib0pa4FmcczMGym1F+ZovpssffNYQv0DiuLm3K9WwMxb9Xve+kP
R6+IHwrdcnlZJfp/16XbkEoxotVZWXBcTkla72OwpXMyfgfDW9VbdMZZqS5h/BXXEfJiO1HpkYIL
Zzvf6YIQQooAsg6pP5cmc+Ijw9cPTeU0hbDVOnGflEVKJZ08t31Ebyt5XJeXcUSaXQ3kcsiZjznR
V2qX3gbCKbe7hTMn20nth1sC4eNGRd2njhMcG7ZVrgLXMNfYe419Vx7TrN8L2CQ3gzW3ZJKNbFOp
2trqgFljwtxpPbnzRNHXXFpqqlNGnnFW7jYiy7B2s6cmhasXBnG4cuidN53Phz9OwYxTJQt2uhue
rIZfMA4mQt+zfG8ViQecKAANwvFBMDPbaNnmZFr6epPN8ddA0qFAELlxwQDavosZIZTtpWsfteAL
j6id7Mreu4KbKrbaxBvk0w+uEx//hVDPUYQrleJrWJlDvc8bYvSl5toQn4MTdBxHhLun4ZfMjQ6i
D8YLJh303mlonc0ZZstopYup9EcDMe+vh4CoMpMOYOlnEYuTbCtFUu8W0iGemnSentJ6BnQkkJQx
X0D2szE95fjiO6nWDUcxmBTEvrKZto41/4gGn88YlYD+7c1IoImq+Kvz4/ZsGBbG50LojQsRFwbN
h7J8uUx5zMP0YNc2eCu/1oQFkXtFwXTRowGPmT0Feqhvej0wLO1qSsLEfDftUm1F7ZCvje4b1XgU
YnGPEMHHHQ6RwVyvJzEs1FkneXcQXvPTtGFaNdII13Y/8+RP9RP0EwPHv8MbNHTWbYBZz/V+4UN4
ScOifaud9OKWgfdFmPYYOo9hVnd3YxcFTwh3HwTz3XNMamDUxX1gxITS4/LGzqOeGaTOH5NG3/Wk
ADZBn8Bo6sbggCoWk9KpPorcfurHdLpXHjVQ9SzafHryo4X5xOx23WbeQ5C2sJh6kH/zWH+4VbUO
srsxs+aDF/Ppd8sEXSiN9ZFWcD27HoNhnks+EmQ7oF3WzvENE+XItw52W7zkkRQnyze8PVsok7Xd
zjgvLd6S/ycMl/9erPJ/HOnFh4Lyn5NeHtL45x/CmP9OCuQ1vwUs2SwCKtuGefo3eov++itfmyVo
sJ1Y6craCps9MrzmPxKWMFeXzYTCZYuBBQ4Q6nVX/42v7cFahxsjLJZxscbiTyQs2XzxD8iXha8d
uGQrfRDf/NgFCfM7vnY4DnFUJR71+sxsJ6+tvR/ARlLTLWi0nz194VtqKpjEUfjShZP3lHPdrSxP
nij7uL2vAwrpJsiiZ6nUqaACoRpqd7aRbQGDnCv5CgVWYfetuPCw6/LFn1apI06iTXdy3Kc+Uxva
NxihK2VBq8p7hFM/S7cTgcO8Mc/oa2gPpPKAjGya6rZyxbvSkwQ0HTwFPcNJZuQguFYlyXuQ3Ri8
VHnyo+4tjf6Kf92QQwRIoVdC4r8qsTRk5rDRNmJsdpH+BAYqeh6i/l5b2cbK+F0GeSUbu+nUPO70
PJf7jpAOVSY2C2I+3Lepfktx5gRSbI2af9Tj0s07DjYiGMl8NhMvWXlLGA6zYaWx0dZ7p7SfReF+
6SipAAVk90RQf9h+9RLYyOlK4q5pE/kYuRReYd7fCpPptCp/5GH3jSDCIZAhxg3OrRoJjNg6esrz
8VfNq9fOaL3K+WToR1E6O1M9SMY/5gjBB2goaAoyiz9TUKIYr3dhOW3xhlyyhTU6VVg0PfCjVaH4
u0gfkjO/tQGU9qKU2zFJ8mczQWzRVcfbHOJ/6zETiyXp1SfoNRQXHkWIvQojPrURG3a2aDEyrlZL
p7ByNS1fPmui9Noc8PLjmYkCZsODqagA0qp+qcrFChttB0c+gW25lhlhrMmHHFLvx9jddCj9FJzx
DnDRCz4gwOq53kEm2Ch3SfvE/cUeqoM9uz98G8dCNDClA5FzjxTxw6XJiqS8ZtreTG39RIO4KYH0
FeZ47PLh0yX3fu60HW5DFXnMtLKjkNavIZXWYtQjWmes+QJs2plEcUP8EWIHheZKNZ85htoqcsrt
yMxMD4ARIwC/x6zH2Dz6wGUm+UPkeFMaQhV5t2szzYgmFAci16dxRrownfGI8eqt8PYY0b+nqqUi
KxDKfTfht5waAhFqNTcCYuuPsNvNdrCTACR8DBiiGn6YRrCPIrTHimZ6Am5XMiCqM8QBAPMkEr0g
HvckpIYN2dTyNjeKFjxCyNDPdTBd2schcx7raL5NlbuZAnlgsH6hLnyBsnsCDsUsDdx9m3tHJhUg
oboMmztlsJEy57DWYfeWldHGstUlF2+lApkrX5gKvGGs5dfu32RbODedF5xb07Rvqk7zaZHo30QL
bTxYuOPmQiAH4vLWgSQnIx3isrmtjWafQS13oJcPC8a8TRRQIsjmSYyhmFzan7/d/ntX19O/ZJD/
/yMC/GHZzD9fQuK/xNWyY+qz7/71q367umzWeuD1CB3hBr7n29wNv11d1l+WyyyEosQVtmy2/vvV
5S8vMgMgt8LxQme5UP5+dZHX9LgMXcu2TH7sn7m6AucfaWXLJid2b/OjHG5R3+PP/f3VpeykcDsq
qY1TMwuOTZdnrWljHjL1WJretLf5TbfhZB5sM76fyuDSO8RSbEdnm6HQH4phGPyd4RAU0JKdXhFc
aw4M6kgf+2dtmczQUSeUG52mZAjQf8YU30h/aibrailQn+P4ODMN2SQXCt7vQY373MPXKqxh63pL
sMsQ9XHCh84j6uI2R47ZN4X7Mzb6HSDEiOo7nslCuqBNdImLxyNxkN5FbfChTfHe4RNbB4pIuze4
2P4l0frOJG8pGkBU8cIBaeAWZq15HJ1yb7hFti8Y5jt2AiMtZio32eFXbMj5UIaaSHq6T215mBqu
qTYxOn62896UhFPa8Vfqq4+MHrz2/TPrBMxjUS7clFmd89xZuki9cqrwu4yNvdVaR8MSj3mQQk1s
7+cw3VUeqpHHUoWRPB1oyA+03LvI9rZYVSASTHdRVN4YgX1jBvo+iIY7W/U/hd9Op7bqwSpWdy16
6bavAO8uB53VeIeu5zJG5jmVsk6QNDHRlV3sMxRIceRYHXQBVe9NVT8mto8VlqFkJS/483ZxPvJx
YNuNMKLUOR6ZRo7gCWRL0gEie1/ssIftVSA/Bx1f27Ag0TC5t0GuWDNBACP3TqVoqpVZ6n1r2x9p
Nl4nBZ3Rg57e1uTl5bQzhwo+FFkbKESFW70OUfE2JeWjXL5O8LFsp9l3bk/ilAyYdqz7OKgvDvgX
b0wfCuU9TbM81ETL+or6Ip29n2auNkHrTUdSd+s0yIe1ChHw6wp3TJAfU6f/zskEqHL62UjvudJY
rEFecpV6EPAKc8+9cLDreN7NzbgvLIIa7JuED46SHLbTe67xpy6XXO7+gsaAt9BqGkgyGSUfqVkc
8ISBvTpm5EKVN1lkrIzKGb48P932MsRrSQTD7kbydNLy926T4E9vHsu8MUiVha/GXEF68+aVEVo0
93Bf0ubQQKXEyg31RwGYEW59axdFsCZefzdO0X7gW7zJwvhN6QS3pItyaySEqLyT6xg3hZv8lPBz
gNqJH4krj1gj3iOMqsg12HvtaCaT0GXn2sbPgAyyn8LCXA8DDsQkTfjM6ofR0Pepqvj2UXOIzn+z
eSoWCl0j9MNIAGidjvk+m9p9qemVu2oc13NK6GUKrGPb9TtZMUz3+wljK2H8gaEdIn9/P2rjOHVF
su59bMHsRSKf4HhNCYDN/LAoqzdd49m3VhSR0x/nl6aOyKHk9gnsdP0JkgqkcUxfLAcKqBTr6NpN
nOEYUZLT+7XfjKpuO5RMHqv0R+KReAjmTZYRwgqyat0EGOei9sZYItEDqTp7ZHVMluzaPnsf/fni
J6NLpDliC4sfPfozsUQYKbe1TzB49DZ5032lmTjqPtyL1D8URvNFo3BjugF40eRRRTlapGquZcIs
ihf0jfg2+4bxe/cklHc3jVCokqzT99Ix7+OUCKBI8SmXw71jqfnYuBn7XIAjpCGGxMVRtHITKvkM
4cSWv+JW0zekWfuWqYBsmTk/1mF165dDtSF3euCNh3jg48Bt2vyrBdK45dNxAaFGGzv1z7NnXMs8
498JqGZKZhZlYN1GBAfS2TpFaqQfHtwfkTvdiMY/YgTdd1737SrUoqlBpAiy1nlozfBqVCx7sHUS
rNy8/NbAytbWVHCuJlfHm7ad057D0Xie+CDXQ958QRIhnQCkl3ImZ3BQfOvefRsDthJhFHhMYve+
0Gw28KbsFa1xWy7AuYhA3WRb28mXN0SPToZ0Lk5Jeapk/N4E0zWiLFr1IryzInXF/TZtapgae2pq
rgnT2CrRLT5j9ahC3JpVvAtkcuQgqy9mBCGhs3Jzo/3yu6zE1TcdvZdu4p8bWfTnVILDtvMOLoc2
Xkx3QIMdIsLpebgdcX8eIATT4iT2uq5xZ3Q5WPVxxN7vNJg+moL1C5BJgAJMzX1UqaM2q9eR24hE
T0uGKPZvexlMsFmmB7MMEN7s+mi2isDD4NlkJRWeWvdpVMB2WyZPysCjbAzqbrDTz16aAMcWmTJ/
IXqsN91UXMfFeszgbleo1FmHifHReOVzgJU39kjR1325znwY7BPwzhoRcoZDEA/ZQeBhwmTBN96Z
9lNuXHx2MtRY/daWDA5ido52nR+xSyxLpIT3I5+J93FdsDrJ3jQa6qjf9/tUxy8RX59Ag3a2QEia
zr2V+9vaqM5W4n+lPkCNaTHzJ5XYZO148Sx7U9fQBIgvyQJiae9+NMDiurxcWX15juf4kpXwu/v8
oAuDUR7Q1NB0jgzEDZCSpNWFz39ckp+CQJG9mT1K/zEp4oPHMbpJ8i/hZyiJJe1PZcLG5H9bZX2P
R4+lFbdFssisVfhp2v6jqbNsq1X84SXyRar4piIINzDrFOSUca0/jbqOcY6SRCV0GD9lPQlXPjwG
n5HHChSj3CViWjcyZn2QgzZd2Jz+xrydoupp5k2Uofve4rPAaxHv54CuLydYhDXwFpo7z+voU7TX
Y7uVbfJJD0PVHhB7GLPxVjIEBlAM86ubsdwsUmrUtduwagEjeCaOXBR0nTvLm77zGh/OjfTWlZdz
y9Yzbo9pPqTL4FAsrBx+u3mdEeJa2S2hmXbEWqxxkUZZcCYzcGv5yTG0OccMCIzYvY9K9nvl9PvJ
K7e8Z3e9EDeiLA4pPU3Rsz1AmNd4hMRjCJ7ZkaRwa+Z7HTc3MYk+1g+dOvLSTte8tWSZMJd8yjEC
H4AnC5sVWvcpHZOdhCURFN7WarpPWQM5ixu8Z7617e3iZHCZWIwcPKUIQmGshxwiZMQaAh6/Lrrl
0jk4CyNlYsuMcKZnJ5ug59tLbO9RqW7T+B7s59zYOmQpHemSUlDfI+DpznEpVuV71rZnHZqbaug3
BcnKzDEOAz8xkcxM8hxrQSPiaWPicBonsrxCxy69pnQeJmi82DUssqTpa++hA3slc/JR89CV8jtr
FaWx2mUuZUujD6GAO97Mp7izUJd766hw7EJMMa74hbwVyPS3OkAM760IznpknbyAfQt6eWyZiJEB
MyqUFGgMvUn0WqbquxYFiflqVivy0vyyc/GzJPoAeZJe12NMdCM7vmqRhBSwDAm4fcdN1WbizrAJ
+vj6hg0WF5XmAZm58d2Ke8ECq9I8uFPebswk4v+0zRBHOC1WWthsS5s+GA9eAvA6DJ6RHcrqNLYj
PJUAzn0+gwLVfgqyvUc16JhQuMzLfCf/yDqubrMOr6nyPqo+v4u19wETjZpkkp9/vkX9183nH4h1
/+Ok1YA9J/+5tPp/0hkScZ8XX//cpS6v/K1LXfaiC5MFhiz3FcIUIOJ+61Ldv7CZ0COZyNpQ59/3
rfyHwApT2166V59pjO+KRXv9e5dqsbGbVSu2TY+yrGH/EwKrJ/5535UwkX7h0wJwBvW9CLC/E1ij
PFWd7m1346iyfkLVdYALVN5mKuhp5oktbpFU7p1waS7hLfcHb4ZtDIM2JzleX9Os/rKLFipB7mKH
EuT0Zor0tNLcSchsTPbu3Kz+VRbeYy0x2eSxoP0JH4PU7bALkB8vwi7a4CPgmQDAuWHnREQJ3P6I
mdG5Eqa9LlFnzG0aBveuEd0kKUsBGG3RXhrBqiPqZkfFaYjJuJrpVY71mYBWRea547xpw5dq0NtB
mZwTY4peWmB4yeb8vghhUCT4N8mKJDd9ITByGNXHNNFkW8VM8TphM+F4mAeuz2JwLkohrU5Tv8i5
/rIITNyFjOaKynvrAp8wxBINnNzk4s49BnQzp9QwZ5wnCm980Y6kmexg4xrVPYaJ6NawVLRRwTQc
uGs0iBVqQ8MI7gR5yGOPF07Ql5gAVTdRiFG0nMCU0aY7q0mqM0BkIAW41Yu6fEkzlgn2eOyqOX4b
kp6s2XRT420CM2ysLYvcP9VhvMmc4iON9SECSlb41TceqK2YCc0O8WasKVxlWX4EE854aBghWyGz
mrOk/5ksrN8GDyAyl3/tiWKQB4Xp33blc9XN1ypcPAo9CJNMdi9tYi+4GlzkbBZMzGcbHpCIh4pw
FzsbQROY1fCIK2SpEmCQJMVXht11B+BwN5iMyliagZ0m0Wh9+V05UnxPBheQnZGz9StHbi1pnvpU
uqsuy+v93CQpq1DcS1QUryZrJpiaBoeRR3KVqrncDa1PfNDw901Q3RQjZcQkMY1VzoRSHBOoy6ra
fQjYcoAoPLTOttPur7ojQG8bgdjMTqJXhhDgl3pqINvPp11emul71BkEKN3FJJ7i+6gK4e/SFr51
bdVyuVzKbTV62GWjJTAcxe1hjsWrtzCrASzxnEj+fEJI9X1Rmm+Jtohk+dkP30xP2L3uzLin+tf9
wXCKV8vIQhalYBbq4ilZs/Z0tQza+nKsbppE37slULfG87ZamjuVudvaYzsDIYAX5TKfozC6VAAM
CFWDP8oDte5YAhEs4zjDhS8xMpKk6XzBBbgnb7DrZvHTw1P1ZEo/4DbLKeb1wncjz8KGHs1lPH2K
kFqqtjNwVAR+JBwnXU8Hd2Zq6Kce7B3DAG0j8z3rzra56VPCT969zPSyHMnGZ9mlH16JsyJx241I
vXYb4EFOEyiJleFWx6imIzSH8TPHOQawuL1xWPMItBkrWVPcznZ3HwV+uktd45pYA/ESki549Z1T
VGS3A2wbjBLjkomNvkshzgY5fSKheK0E5DaziX8ZU/ThDtUTffxWddNTrct+px0YIdB+14QrmCMH
+xxwyHoam0ep27tC2ftOY6egmTKd/rUj6bImiH0KJjD1i7BcSv9Y9NX72OgS4BRanmXF31YNKGys
vgqq4VU/8N0vCm/eF4hNEAy8VWdMFd1sS7+fFLupayUEg6V2UHmCQVL/NKAmb1RcNTd1b259BTvF
tbOt1xH7nLv0MWR49IzrDi5z+1B71PORC8C8j8/JNGysKb+PiiVkXPo8EOG9VB3WkFLsfRhba+lz
1pcj/IO0l+dsVhubOAL8qek8LStgcgeZym+BcvaOgSddo9R3U36dsU76dFmgwZdaLPc/STuM29i3
WRqYmZAwEotoPsUUqoRIOMzmqxtWTxiWJ1p/FsLaWvUndmTFpEIwGPWmQC+i5BuUBU4sT240vR+h
fMmA2UpsRh6VTvCWOskCYJ9sLO4jdgoaTCn7u4Z1BidLaZzvcREv8OGVjKxXoubvzhje2oNqtm2I
fSEx0zu2IV2F5H30BHaxZPrF9lTzVLXilSWHB8/11TYMBmsfVAU4td45U0q7d3KYcEWRKFJ1Qsin
+ara/MVM2f3itOWe7zSDOAc1KKt39GSUYrN3LkjM1Bl24DB7TBMNAaFLn7JOUnw3715HjJ+A8b0h
reSGEDsZoYYwvpcTuNDzYtyQANStujkmkTxqXW8qIklbO2cYWYUWVl+21IBxpq0tCKHAS7B84FJs
tXqi9zNIt0aveMaBopbhTRDPDcwCZ2+zUTDu20NpEDMGE0NS6iaqIlKs6rHrDJt8a2cuPYQAkIav
JWMeZYA2q4V0ii0r14yloGRDVQvui7OF1sjrm92ADsK729qXWbebLhaXLq2ws3ohQ55xY7QVEhN5
MN3yjllD8+5WbM0ciMBXIexDaHAP6UQAFndin+DIcUkp8la7h3boPsiinpnGsKQRcBKW69YZfOQ8
UqWqm/eewFKBc2v22QXZzCHiEjuysSjxzZ4Oag4enXxi0ut4T4GM76u6PvX047Z2roCusQ9CGV4N
2OzRBm943r8iDweT24SLC9T7UTShxKAvDhXiTpxZ2brUZPqdsLqzbbLiTPzSFYASZ5FSrFViY+rx
G/sungrSwy7BgYbVlILjp2D30EoFGvJ0dS2kvJsNMgFBFr+woSheOXXyHoriWgjEPBX57NzCsN/E
1SZdJnCGn8JP8RcxRT7XQZnQSrcfudt+TimLGJyhuBRJfW8ECWKEBISUbvygAgPKiGLXd/LCAjA+
mGonhvDHWDD/NCUnFWFt/4h68TFjhF/nuuTRM4FNpdyoq4DLjKDVfOnrEhxwnXT7xrHfgga+Y+Vr
elwVvNkWJs2Ugm3PXWcfmgoOZDYB8kskGITFoFeH1v7PNx7/y2ZjAdsSfWjork1P51kU5/9lE3Lz
VcQ/hz9YPP7lT/itGXH+IhhmLuvK7b9is//Wizh/8W3HIbYT0gIwEf/9wMxHgg+Z4Vu++OOCR/8v
NC+BFQjMIQFWEP/PtCIW1pB/Wr37hz98aVV+14oEEXlmUUlqjCIjODgFx27AFwgfl/HOumXNauZ1
sHOCYxEFZwd1cGZZnUqxcsriilJgY5nL2QZGQHMj9fQ9lu2WPVmPxFfXeFy+69y7SZAuuUp6gszV
sZMelC2O61z9qLz0mHdE8ie2r2BvQlVZ6T4+BnFA+h6DWQPExYXkK0jn+PpSsLomgLIPRpONkP2j
KTGUe7mFcJZexpErwqhBrXZF8JRBEYCXA4Yze8iM5qXEsFISIPXLhk0o+evEWGpOL51JpemrQ4jj
kA09C2QywzLfCk2+O7pDLOqTmtWWDgmJJcsfWzp/ibrxKmrQABsXo6RLyCCs7YciJXmYZNCv0edD
uC4wXnZ2gKTVxWdJSsHprmn9biyUOsPt1jKp27U26SeCRLz1Kr5zu5DFPUX6xdphkC9kVEPjqfIx
AON5exU+PnbOcnZFHPg2Qzfv9jMgU9gdp5RdxQW0rCol2tg+kD54NGagQCq9kxRIYjBPNNYk12o2
3yTOFlw4VIF4xW6GnZdELHDkIO0viyCvu1vmaNtZEaZqr3lDiawoAUQOgW3e55QmPSxzO38apmdB
5Z+yGLyQ5rgyugHdCEIwcexqriHwBA8D1lOUzoMceD8kwSs9PHrVdMI4wCYFCI7tbRawfpArvBxf
huo5ZLfw/IpAeEzURx7gIl+YvtDDJjS/unpN+IHAvjFDk2wqWE7uCEYwCLN8tCbbIm0GK3H00UGv
5dh0dLzuKs1x+8ZAGAjGXceb2bhk3b8XRnyeP8UWqneJg5bqXr/7Sf9/cVz+79JpWA7DhlnHAb//
X0k1m589p6RMiz8YCv7w4t8OSOwBAlctexTNYDEOsDvgN7XGQ5KBMo5aw67xRZT5/RFpm0HghYIN
AEGAVe7vag0LBwL4pgI7gY3uboV/5ohkr8A/HJEujjvLgRGI5yEMmdT/8YjsAcpUgcgCkF/pdDXC
Ggxch0hMrKLAtSkFYiigyalo4D87NMOfY01raFQS7LjvpR8gYNO9sFNwV6mH0DFkD27hdLcTz9kp
dwJ/xQR/2TPShW9O75ySuttN1tDyLCbtK7OsdWSzmkh1mKQ8ww23PDJqW4/5v3F3JsuVI9l2/ZVn
GgtpcIejcbMnDW7fkJd9FxMYu0Df95jp3/RhWsjKqsws6T0pB5pU1SgikgwGea/j+Nl7r/2O+Oju
Qh7zBhGyDYfgCYVuwQLdzUVQboCS2Ss4wAeQY29z52LS0wqLDyhEz8Ky5FQ+2Fd4pmXqAKdb3A0j
RQWLyPA4IBNeUWoDtGL0gTjFXGmKac423AjolUKkOMTCgkhaZdEmav36Cgj3SwBPa+WhJhd+zGSI
Lx22IhNdWDxQtlRumH1w6QbiOq2i+0noU5hIGBayu/Q+MN9Mtk8pt3unASBKeW0SNdc1HO2V74gA
oxOYDDutLnM0H0nZYDYwf3hk3FZ9OZ56xyNPFxlHbvMAPluksYk+V5pg2EroObuvuB/kCd1r3MF2
zMuPRIF3Tt0c0DkuyIfrHuiSbbqY1gq5DXncFIbcD4WmCrEE/YRrvMr0Z2wjJomw2U7W/DEH1ndj
aWtTd6ZY7O4/J4siTGNq3u2uv/HT5flkdc9RrfeRKCGxROZVroaz4ylvJc3+R1Hzsqi9R9dsAfoG
wYFoAAdW438OQRycYlHH25zmAi/C6UTybkfE5VxazRHC9l46wXUDKxvldqQVZkzv5ATU0KIjhYRR
A0XT8hW53r7YDNr9KFH9EPThVsQi+AENgSExTb1NYifNNu1NaldbJP+sV9EmVpDBbOgdvW1/zcQN
lmsELfXTusG7vA+DJHj0CkgkZpl9D3aWbLo4AiqfzHeVCiEKdFjM2YiAq0XKRmZNaLwYUe+Sr6EL
vyza1ZYkN2ZEE+hikQ/2GqiJDUg77K/ygbTYJCpwhYHMyA1BdSQWv9Ni/FE2guARi4e1oEC6tyGL
8q33RrBK6UyNcpc+CauR7GaIU93FylhXhXnUiieObdTmIVyA5X6H+FERWOBCrrN1VJo/K37YBTSp
DT6hA6yveKPj8S6SlbmLpzIFBVEToMvM5meaS/yJVjfvJF8n2wumFkqvT0mUnkw8lbKS95MBjYj3
DD3MXDogOGOAZ23RTrWkc9CCIue70S4ew0OeumCZ011r+nCoS+MqcQN2VALaQ2UFWFkQivvgFlgg
qT2SZandfbotpfB+qbdE1vWqJFMJuAnN1hvzjd2QAsMmdW3F9aGgSpf+4xXEDPJN6DZ67p5cK6R/
IpPJeuDSqkqLUrKpNdaEYa1tZgcYIbHWN1vDTk0EdmKTs7AePM3xI0X1OVUAQHoPBm9EmpEKCbJZ
xlJ4sBRAsoqd1qnsJBeYigh0Od8y+C0Q3fRulPZ3ZIpnzhNYo9kzhIqZ7asVn8iol+up4SZG9GYr
FjOgEpijBjogAoOqoSXHFdr+drnQliN48Ep95nLYCZn2+7BaCoJEuq/9IFlpa7gqrOA6LdyfZetf
vDHGN2z31wPVG02lbrUNbzsEWz5Y7kPokfQt5uaJ8DDAzT64JI7/GPMt3cccVmvVsyLJJxo/sigN
djlZc9JXew4Cml1nTMRikrtByM/Jza9sM6z5ZHDVhAxOdhQduhhJGMttsAcneTuE40Ni99+knJ7a
gohvHzafHFt7w8pMqGqDR2tWU2qEpqoEnYnoCN3qI6q6E08Y4PWmANJglV+uhcBq8YVGdoERFYh4
7eh+xevUo+vDd0jEOLvBIGwic1wvHmN97Kiaa30a3bBPwpI8LBW25mSQEaLqy+C8iDFYWM0LT9Qr
bbXflccxmup2Z7N4g1EX8maLQccYqGjg4YOWV5WO4NWmvO0N1h4fYJ+Ro4eZV5mrFPVd5nwgQDs9
t6k2nsyZ0sg0Me27big71mJh7ZzLcknPm3Z4op46eg4SmA35nPNT47L+MRbBbdJMYAz78rPv3Zt8
SYbOaovboIbcVcSXJdTn1R5aqZ0bYEVwkIKReeS197OC57E2B/+TLc+JVyRxu7AmdFETG8HI8UJ1
+3bSLniVcX7z2jbBkNzrg4qMLxYP+9mPf1KD025ExT81H/Ov2IhoiBgJBbVVcDvlEoCMak6jZxyr
rn0KZ/eWLcFxJO++icrkSqr2MPbFUkqsafXL5+f/SnWCnhqcBwzTWIp4739U0YwiYZ4rwyL6walT
dFfJCLNb6h7uv56nVUArzsFzFPBe4W2MmM1G7ZrRpfLq9tMb6UEP0wY0REIQfsiuJrdhOrHVt89D
bY4d8H1zAtA6x3fiCn4L2zVsYuuUB0Dy4DU72Ypo4jqHFumJlJ9mMgEWahIiRhjsT4qAPbb2O5fw
dez2V1QeeYehrT7AoMNA1LDO0A8oku9zn5gDJg/F/WNygn43qlBhmPMaxpW4PVY2VZc1HBB0CSi+
rLrh0LUl7WqDe+pdWKyCbxfo8Oe+C9exD4+6BzTb2dGeQWvTq/QArWsNreXTNOyftYs0bLTjTevg
qvjra45/rbmdx6CACIVl9j/RV9OO5qj/g7i6fNhv47r7C5Ilc7rN/7HuYrH9bVpfVhOKbQbTsrME
SBiU/66t8jFsOkyPidMhKmvxR3/XVt1fJIkX6TJYS+158i85gJlv/2lat5bPBgIJuKcgQeOwVfnj
QqOOk6Cp9AjJG4TdXSzMdD9j2LgFC4P5YniBw3Abtax9LafjoFXZAEethaxmW6xClxrQhfYbibPO
y+Dk2+4jm1aW9GNYbl3Pu4w6pONXwq7NWoSJKWGfabfZk0zlObf7SG9SBASgl+a97xmPQxs9WG2u
XvuIqGlfj+FHIup+XzOrWwHJ+ilPj3llP6qYKtEwrlZVaFrnJNAF2Q9ARW6iKcZJe+/Ork2BE36i
TRANEOYz3ZljdXL7btiIMedfNYUb4aID9HRjOCYCsU+JVVhXb50CMFUGR1HMuyCCXEGanegLlRWS
etcouC6mdOBGjBkxoEpc1BhPumFB2rjT3vPCbSTFaSiJ9q4UeMrXpsKPqHqckVEbJPB8LO7wWVT+
5MKBMAj1y15XgwcQMiHpN1XevJ11dV8N/tU0GI9GX1isLMan3s12dToVm3Zq9unI8mAYTFw4yXDT
q6Kjz9eNbrxpegj09NOlHxpWEOlA0qg6dI4kL/DBuc2JH3i1BlPOQrx1gr0lQXbY9b3rmHdZR9Io
UhQbJkXgAnz1Hju/2cpsjPdVgeOqHR4MJloY2zOzw2Tf53WTXNyIRXjrmxABIo+W1t6jVk4FC18Q
04dvdmqV1NGD2cI6spKxoxC1zO9yPOUeKPdKZ86VlaWLZ2rjMslFEMBtwpItCDTmHEiAKMaHzq1v
TbM5UPdIB+xARsjGiKxb7wk1othVQl1XZf8meHgY/qC24wiSwvBTvQ61FR9hcKY/UovgLj6bT4tf
AjzmCxhqyoWFuw7orVxyw9e8HagcGfjCTV0au3nKrjFu0iLrk6JqZvet9dL3yVLVoUzw6OgyIOZE
KifSOOvGqgmgUILYmqnsrUKHjLVbwf52sa3hL8gx6zVZfCuN5E2W+k0zvpi2B2XIIuFiN1D6xsqg
ygnbtlEAYdcXN5ct9kE28pOsQAgZV8UUBpchiQm0tOSsY0km11YAMmaus4h6waZDsFRQcte9xN0r
QvtZYxVcinUALCs2/K0TXnKdHHTIU7Allj2laPsuT/0JyK9hGa9pHJyHRBsn/upx7Xj5r2Fvnj0G
nn9P5fekkK7Dqb2RTXSZuJmYZvfcmi7vsuExdWDOJrGz2L/LYWWX5U8/DTNQQ2n6HkOr2ihgE/Q6
AT/orft+dF3MChSNCGNAeNTNeDBDqnbCCGXLlf7OC1rQTSJ+G2uSZ1WYdisbqyfZMYPMfVs6t06T
fQLw8a/7vk2vq5D3mMK2z+qMcqFxguQX+DHZXORsUgrGdZsRAQhSat8cmtFJ6syvxeAfmStIX5W7
iZyYTkeJjapBcpo1Xs/wPiwrKjAwh3PPuZi+8aDz+WaIJklLVN3sYWt6a1dwqZ8aKL6iwNQYxjRx
RunzRKbP7nmCq8ilHsqG3sQe5+xb9TFfrpE1tole5he4GHw4C4elVfcU5siMZK8+0eLlrk7GswPU
0Lch1ATOLX3VW0+HP0BUO3vWO3etc4UFYXLsHx2xsgGUXWIsxmS4+0Wp613sYxIY1TEyuA8CAojh
1wEEXAFNuU1CanfMNjnjwQDAOUTn1B8/CiYg14EmF1OtQsNd6XJY9UB/1ez+cEbjvgr9ry6KiAWE
7oXadtBs49cQVXqlRcB00kYfJc+eJY32Zbn5Q9P7kEgjkv1h77iIhFQdMbnuasd9MJT8qEN68TJH
HYjh7oOBxWVE4h6Kg1nj6U7oNf7rk8u/mEDzt9HF+09VmWfKTCFQ/Xnd+PsH/ja8CHaDhGc1qSOP
aL36fdcofuG3mF6UiVqjlGCh+Pv0otCFFJlb+beY0h+nFwunmb18xl9DT+Kv7BqFvewSi3QKinxp
bSUhRa+pRYZb4wxTpvKWP/+DHMMlxbDxA1DIB/k2HPOLAVYjNwAthD7rAzV7Nz3nhmuz8barS0n7
mOekm5jd+6pryDBhU+pGtFhWCM0sjqMSS6bwzu7jl0Hw+EwcoNQRoB3IfCz+QgX7tgFz1ZxEeEG0
3bgo1mbZOCu+7DNms9F7rER6rQlkWCLfNhoawuRf8w95NdJiV+fyCNFkbYA65Jh7t4axg5XTftFV
dTLzYiT+wFquT5JDkZ7C2bOPYqAZhp5fbLmgQdJFCPcoGcDQkF/zEOcy5DwMU/IeAC6evGbT0UjX
Uf3QsyiFdXM0h+RaJ9PaoRTUs4I3G9YeNHng/KG73OwIQoRmej85aeuds7getshy2zgfN2ZQnDK5
rboABw84KkzgqRhuZPmF2wtt3LkdDWrZp4i1YPiFeFQP0zc0wL0n/Gco+8Q5VmUrr5wRr26d3ScR
3y77PqXQXYY/LEgYjqNpzKBCqdv59Z1qr6e+Wnko+47lQFwesJpivhvJ2hr2KXEeCgLW0gO3k3P/
KuCIanmphu4tL+8tEjihiI+AOsCs5ER6W4MpZhrG49jYMdAK+2gwA84FUBMcInCBPzxOq9wHQWLG
7n5cSDwae9OoOjhlOa2BGV5VG3vdXz9w/rWuSv9QKZY7zH98W7r+n/+j7srvf6NkJ/qMyncUvumP
vtQ/fZrfDiC1FCWrP1pJ/359sn5RXJ9clA5gjSZqyO8H0KKQ8D9T2CTzTcTm3w8gXKsm1zqXk8tz
LZI4f+UAksuR+qcDCCFcKU+6jgBNbRIK+fMBlFu2osQ4khtEArYeGcs/KhME4+PC2jCpgZgGwpWk
xkl1R28uDSjHmbEZQHZXYdg2SdCJ8VD7+6b1HtnQAqkkLUPLXuxfOmhSgw9Mjqn1xvPGlQedg/JN
p9kTaWTNMxIZUY34xvfAEp2/zhu6mNU1Fu1IvfpMtLTFED2CWVXCM0xm7kLepm/8nyxdTrEcHm0W
1Apn14bh9ezWzaYs/adCRg+5tCi8JQIdkY43iETrtGF7lxXl2vMfCpYeS2waHN1+nFPrtSJUbZI5
HOddiQZD4Bo2HYh8HOjoCxu5ZLLnxRviENOmDgWV/M0rBuBhpmQvRlCNWDfQxIxmhl1N3FsvuW8z
y1/kr0lwIuFyBsXDGi7caDSQYsmNN3Z/Yt0eAJyaGt73SXWqOIaCydwUmONLjEqs6DjSDeuzmhVH
KuwuHDONzeRI2dFwRWvWFwPaURKLIq25GUm4Gx0oBxLvRZdsLWt4CUzvpsox/ruSTI1FSl4m2cHK
qdok/sqQx461xfKngug5Gp6nkToGR1k3qTA5wxL70rcYUcvZvJ2K+qMJKXWvzNfAfCw1pfMESnSX
w+hGZqjGd+6qa0Xxp19Wez0RyzIC7PcPcOSI69XmOSjv6t7nJpBtMtc7JliTXB08utWlnXOaS8VP
x2fn2oJgmKybob1uk0cXsak6zjOA0CUZ1dXhZlhcNX3GrjYFnEVYIE7S68GbDzGvyoL6isjBxWyz
+UdiD5Lyynece637Y7WQFmrqFhDhLyEwudUYe6esoRCcHr6RRGzhIBOFxmYuGhZ+ER+eGrwe27Ue
nWvROtcL45z9/2ewILYcW97ZBMxkke9nVXxApbuiI/Oim/K+d9UdJMu7IA1dGoqB2g6CXjhg1p66
JofymM7DlScx7Clv3lt2cQbmHRP70A+JYuivQFpR7+1l0076Niy57pyIAL6Bg24yOsccOwQ8ChOJ
hsghbYTnoPKuBxssmHEDYvNetQg94xQL2AHBlUdBZWFEtzmigzMjFSaBfU28XvAq8419TTsm9Vl6
Ml6hiD2JwiG4JZXGY5VlDADyts8e0uyWFScmAKIxkPUd07jX4CxWZpRr2n2biyc6FncE0Wy4kWez
qJ4dGq5adhyR2U/vGaPQtsel9GAPQj9AAEGIryl3NyHeYHMbE2woll9sKIa+1AF2lJLut2aBHnE5
BeSLpKajr8AOnmiOadb/X55sL6SLy++v6P3f/xT8/+9//mXzt18H38XmvX3/0y+2uOLa6a77rqf7
76ZL27/HC5b/8v/1D/+NAZjP8jiV3//tv/xfOADOfzpKr79BTv/xQfbb6pAP+odkL8Bvmajh9q85
Cp5V/whYkGq1iVaQVbMkxqrfn2LuLzZTtPQsoX59vv1Bsl8IATxs4AMoNtDYif7KU8xzzX9+iklW
ndgkcVXxBfK0/fNTLIF1irXcdTYs8M+WY527GSVYusGjj7WwVTUtw+Upt30Gt9x7S12Rb8BBPUJ4
1/iJ0uxULOy2jvJoErPksAFQwcqWBOAws/TlYvR2MDyJEckrNhnV8/QTbO6PaKI0TNTWOZiwSRk+
dLyIKyolysNrNNktmX5/Qx7J3+LKKphAo+emJX7YYAtvh4hLZS6fZ6me46E4agQVVj0+f5kf0WcK
1VX3T5aTvomaYChs1bdMm3eYZZ6GUN4D0RmiCNacix+21MQMa/uSgHJu6GGTdnZTd9UF0sxayBzt
R3v3Rk/rWpOe66jrtxlrlq0/UDpeza9qTtn9oROZZXfMKuAqjfFe1e4lEsmwLZlanSo6AvJYJ3Tj
ouC48srleBwCe6fc8R57xi1btS/PfGNV8e2YzapWmtBdQBFpDfoMHeGp5QeC7SfZLzyHNRG7+9nB
rzm6+7Aur1Qo4b5XyMQlucYhYVIYYYQvyMV7vniBfzuy7zT6EAeZe23NwZHKiMuQtWwQi+hGR+Dh
eojAMauScAiuZD/b8AuHXSyjc+JjxDDpNC5MJOP4HX48Ta8+zTadQa+xmnGN8cLxeGT77RXxV05Z
28caMXnvHWDQ2AkI9Fllu+8gypq5s+UTbAsz+Yp99yObqhPfqH4v0uyrmtIFOnA7Ocaz7Jpzn3gf
VBWeEtrNw7i/NcrxmkeefciH+AEfAXqvyn/mc3rVFnqHEhSugp61iCM7eA/BnUW0fZrGK5rOGIUi
30JGyj90J1HExDanPa9T4lUbgBwNbW8km+l1XPMIbhwQq2XVviZ1/Ow1gMU43C9AXEBKJuo0+8nV
pJamaoelzkAuddYI1WlAhUIv8bXy7v5UBGyAUXqryvXfI7+dQHayj2IXA1agay7Z7KFtBy72bSf2
Nx0SezyqrQ18Lkrq17nW32FIrDqERoNQ3pAtbHpYbhIRKFW8U5xhka/h2/HUhgSTUI8IcGTrqlrd
9DNGi6aXeGmrGwgCdNt2eXdC7rqPNHA6rkIP7Ms3ogeRHanqRxsDUWgc8730mvuuNF4Zj04+tG5Y
MwiuTtQukiEhwPmQzuZaYkX0xL0NfbVI221W6uFHV4V67WNcXDkYdwhCgxuwFgxQGp9A51H6XnTi
OvQxqcRz/pKkiNh+YbKXs3EDu7SGx5gudNY/smI3SLvgCBGY6CzWXLtCOgih6F6Ny/bZDVBjgwy6
6HgTYZ3xBoUqKM5t6cJXzbatywhaJ70DnBWMrCfOltXSgWfv3Hz51pmChESNWYS8pTjL3jyNUoEe
SL0TBSvkC/gnNzL96hMFzXeAdhDXEC+0Lq6dQD40A4vmxPLuHeC3a1rlvsNY/sA1uxk190v4h9XK
xBe9ylLr0AXTK0HRT9x1RH1t8dEO6LSzOTCZjUdWoMR/Bob5vNkMg3WQY/CBhwufCh9SQ/2ZIyLS
JXvD3proUusb+qLb4i4rESQzSSvU3CG1cxWmKJVWBGgD8Y+Wn4k1EHgwDarfs0evyfdpV2xV5ept
FEbimJpouh0EhW1RT/u+cLI7f3HHG7xBDyNoW5UGajVMNu7IiXa3eG/6zjqy0uPA7hSzLVNgeVuX
7gv8iB82NhiZdBtZlnsjFtvZhxTVkHf2mbxFrzeSjfyqsQCcecFCb42HrW+hjEihNoZEQx0snDBt
H59mL723U5gCOaTbarL3/gxWcRL20Z5c4JMW3gVzTc6GCurauLKd/rvmzNdxexu7/oVtwWtuOYDU
Kp4hFpHYK15jauWadLoW3odXURjjtjitcLPIM52hcMyaEi59Q84lFvd9EL8F1fwxDnaA3yl/ygOa
w6yevoQIO6pNM8cD4dWPum4e3CZeWhUgh1qI92tmyhc9hzkQywAjT+YVqz4tXoPav8tj+W5a1QG/
z6eaCn8bGsnZDcgi21PukAEetvlAnn6UCR57oKKbOoL3puN+jSbPtJjqV6mxMw21s5fR9BikwjhV
Fa8KqX+wneO81uy0Hdriyi6/CW2iJjH5bszWJ8ePKI1qbiDMsxbynCMHh79q6H5/SkdFX5gH57wV
tOYVjqXXXII4IBaRx7Icc+GhDssPddj3qQr2KiBwZCY6RG8GutpLYiyt0fN7XflgRTXJw8K+HtOK
qsUZf5Zl9Q9Cx5QOx4dw8nHQdemtO/eHqHGeayqpiFRW5loROF3RIPCOi4VGn5KCtjB0SDZBr0oV
K3h+64puZxufgj6RfcUVnOKdqU1Myk2tydOMOPgk2GDPM+6wkVd4Q/IlkWPSkBMx8M6UKWRF/sGp
OgKzbnmiuirflKLeU63EWshRgFHVR0J/nRP5u7Yi+NMJBZSay2ZY5Z8YX6DY9VVw3Y8k5jujh8hB
I3JYqEeDb7+kUIqsAokdG39HbUCltPLxte29+DJNTrydZ06ZOYfA0HbuQQ7Vg5M0T6JsyrOOzG2h
0m4vovSjjSK4YyQknippfA9j8BpE/fecYVOyeZMCVYrZlYl2DQQOvxQ926NJHQYmRK6UWsCD6xzr
NGBYuURT+OXBsPcKNlth+xbhnQHr3zTrJAvttdOY97PfyC0EC9Z+w6vmsW8ZQDYdtWuoAbBcE8dh
cORp9VI3FZUYZF6GHqsBC0ATho/BkLoC67mCR7YoXpx9RWJ9NUJ+Z+1wTEbr1hzGq2SRtRJKkzLH
vBIM5yBwLunCkEczFp5zZ/bW6+CoG3Dm73xTL8FCRhxprIOmH2Jv0EPy0dGc1xgWwFO+G31+0yfz
dTsU7/hSHn2QCLQc3dc9pY1tRO6qGpiIPHYYmXrI3e7MSbV1jcI9zmImx9f6k7vvspwcj1kN53AY
Tr2vxLaW5k73hNSypLyx63CXR8mjMlk9KoMmW1W/QWkNtipxHlMtTs5U3lS4Rsv0qYpKYqkffZqk
W14P57gU39ol+2TyAu/FRao83ZgjDtPCvmPBhXMEvgFaGVFg2T8MQ/xI6UIAHgXNEavslTXLzz6z
wm0SsGgSNooN/Dr8BO4DG1aofqSd2jDUuK3k85hMqySqljv9Y+nWZAstkeEjhWGTdP28s7IC5Qw5
au55L9fdA1B3emJse5eESC1LJFTgaheeewzpfm08KJGNae8NV17XvjxWdbg1mSTo+zrZKn10nVCR
+w2JxNanRoXnKoQ3N9T9No79c9+rs2HzYOOavBvG+NoICtbm0QpQ+qZYmJguKS4FvDK2yGUHgSTl
XDN9F0+Q9bYOFWt1NBxKi3sGAgXcLfr+ymDYhbht8CdF24TxpnT9Uxukd4aMwAfYJpzC5FWG9cGm
70nQCWp5wxZgDVyOKV57vX3hYngqY5JYXtYtLtoJY3wcbtklDsdeO8fGJcicAfuqR1j2Sc0ualAV
pk+Xf37Y1Wo3OVxYHMl/RgXaWrlWvydRqo4ey+YVSkXMRodGzxDY19bgvUsuZKmQNr2H1PHlMiVS
qZcW0JR8+y5lzMKW4GP+FISUuccvPAZTVfplLjoeskSpNK2wte3QGTwqmmO9bt0L/Q2Ef+OI1L5p
4m4PbQ61YrCvmoZ+yqxBOjUsubELExW7hZth4tjVcXOLb/MnpleuVqnbXYZZhHu/4vvvK4u0W3tm
rX83O6beYDA7CvhqogoTUCUeBXPeS55n3aptl0GHdHgsrYNIQojpTf7hd9XTlGTWhgNjZ4z6fppx
NkriJ86Q3Jlz0RMyz6KtdOernknclhOc9Nkszq7Ebawsn6xM+Y1nRG6y0XK3Q2YSj+kfAZdxNDf3
5Cnu3dr/zhYijSXTdjeZyVkONCa08QFiGPVjZgo4NfFX0I1JgPDUoz26AwEtvLWhy/YUeiVCdFX9
nIL+RojpLoSpQb/aSDWBJkRdB9bHX9+L/EtKjMsm4T/e96/e0z763/ciywf9thdxf2EPD/DBQ8Jj
uS7YfvzDHOXZNMETBHOWdIKJn+p3eZFXjyL7YCqlJSLkH7f7LgxTSM3sTBbb1F8CTyjnn6MMOF+E
RSzCcUEMs2UhwPFHedFVZtdFhYRhVEQvA61a9szNfJo7Wl21vMtMHx6Bh+O4LpIfmhA8yYgfHIYH
t0/2itvtuumjC8Sp7qB19tUk9JDSpPRO669aw2d4iDhB1nVnnOtZsGtpH205ZIfe5UyOnHw+DCy1
46pIf7gRdqrUEVxB+qeuM69K/IDWIHzi0vKBFlLizdEpACm34B1YNPtXRkJVT6ZmuAk+vxsLmlbA
rZUdDxirBMReCLE1cp6GS96/L51HzKY3vHtpqSyijVH1z4GhQh7HKZHOsf5pzMFpFPV5roaXiIpP
X4V3tZthSxmbI8XrRzdpa1Y36XpgSZ/bKX5IdqNhxUqS+gBKbsNXcF0pRbbTsGPyfoGeIOgqHTA+
ThhfSjN7g6GodtVYHVrhiUOVip4rT1jtXe6OxwpUByUvDL2embpLDI5O5Xlu1k47nA2xNLgIygeY
On5KvkkfaVkPe+kDY4DBAdsycqr6G9makpXGfrCCTryoHKdM5vTzlkT8T1fZ/RIJPRY0mqykC8or
gPuIez19S8vs2S1Ha2OSZRsDQuRWXu5Fpx+GbLgVAUi72oHdHzQcj27Qa4B0dOq60TVZY3ttRMNN
1ZkTKKiE8AA/m1gex4xTV7isQmbwaGMm3qMGCTqq+LbTDKNVmIPY48Hh8EpE8PWILjjth8Vz20u7
F521j1VP4K8KiW+EDt/oeWLtHOJMoXWkfcP7+lSYOJUdC0BmI910DxCo2hc6sfHxBhc/Ttd2j3kp
LxhMSyi+pWfM65y8Lv3tgPOF9WIi4DiN/RqozNsYNhedeB6/27C7ArTwxWMEGnQ235ZTsmxVWqRT
e6AUWTvc7vR3b8yEHwtNbQopnLZEeZ/47dyLcGtV+8RIGPIxyhH9vKVammegnsp3JJBo74vmmsbY
a7rl9lI2yaodWUVkKaG3Wpkw4LhjAo6huMqwjoMRlj9JCgQ49SqsikEprk38e9LzAcxT/ujlbxJe
irsY/VxnvgptaiSihTpczultjk1pk+IPBCgCSlAasBJs8he6FJdksRNaS41e72ECgJ/Lfd+zqD0I
sgaoCSVPFnbEOLYe08WfqDAqElE6pYtzcVg8jN3iZkQysF57DI6d0I9hNN3TTJrsKMfEBNmN5lmn
yRMFgigRUSb3M/0FlABrvc7x1TDsUeK3OCslAPFSBUjymC4tzJfx4sI02Bavtd1sm8WhSQsntRJe
E1IZh5XTb19SiAzm4uvMKVTb03lX3tEbRVAodMUm4qhakhpo8KazCYb4joLwX4lRt5MAWz2K1n3n
H/SjxN45QurGUM5AA138VPfBKQRf9ljnFrq/Nd9M43wbW21N9eevc51f015Xe/Z145T1waMemnxG
lS5sm6fYct9KuaAN5uMohwcZNNezrPeW7901OLZX2stuuym/UQnSXVimt3No4ejPjkob66BqsH8m
HbNY9uZPTBKN3d2h9d0xhmB5oNi2bTk9yMYmCsNlXXx05gx1PP2KAmvPWHp0HHKX1rSe8uQVvlW1
snuisHmweKJuimam96Y4GeN4HenwDI9grYf6zAnH+4X8gMr8pzwp+QrHn/NogW6zTlNul5jeJ+oZ
qgLfNpu1ALLGKmzlgwI5w8o39cjGBl/2rMGIJfHHWA+3VWJ825JOwcijf1ZctO8AtTaPQ939kIEP
uzRzjh0ek61ygs+pzB/dhq3NMtH3Lub3fMo+Aw7ATTmxlZocERP1sXwIFq466G4gJyzKy2SDP/DD
G2NmxPeWCo8Zn35dVjboPl5bJJuRdrvPyvdfiqrbFHFzZbdgRfIlak9fSscJI7xoT2pqj2nyWVXO
qbbMS2Jnz0XK4kUS/HH1ph/7h1RSnjU06dalIVAFBCNsB4huvklqoHC0sVAIwcJlNcekYlVVsGmi
Co1XYxGc47g70SpMz0Sg0Kfdp2Fojiwo8tUsQPJWJFezCTdMPLaXSFI65tUTxjubC8Mqyuqfwfl+
zNj/gOx8zTLBHxfeJo+UvsOq7K9j+lR3duKmPzPclGXFcy20iQJV+eP/Yu88lixH0uz8KjTukQbt
wIKbq3Xc0GIDi8jMgIY7tHgAvhnfix+yVFZN94wVF2NDsjdtXRUWFepeh//nP+c7DcV/BmHCJQKN
s4nmR0XHC5H0UL6INOeU6qRpCn4tng9ftvBGto9WfO5K+imSEBngXzfHH776GWr9z2+O/zgM+8ta
bf7M39dq+IDI9vtYPBgBZw/a79dHG1CAizGEBZnx4yO/XR+BnTkOCG3WbYJP/7kYgvwsYhbeEHvO
1/5Nbz2uqL+s1UjCOg7PLQM6GmC1eYn48/Xxj/CKhI+ovPKsCo2eh3IVGOnGifFI1VDzc20b15cC
B2hM26frtasyhqOvLjSGoYix4cnv7BAmhrkc7FcTC4INCyrccVkQLKqmgftgtCTC+FTMaZDJH9ZE
Rg6Fyr5aeUQ2iX3EVDxSOoXRzHJWgfMycXrqE6V9dn3v2qpbR5QpTDV8Kt7LDjyjmHIBzHFAmJup
k2sHA7JFRsUzMed6VkU1owiLx8CzvE1e850LcYEsu/V8bU8iFh1X/z7E9tpW6tDpCSGA5Jwn2XNN
RtenEI9iAzR5eCoxGFYDcRNbHoEZSaFPb2YnIvxE7Ts02mIO1VAH+xw2zbMOIWvNqokxVeM69VIV
d1Zizcs7z+DnBuSzbJW0ZkP2cye/TalFbW8mmc61CGbybZe4S4mgAtwIOUGf9DUMR2pwZbnRSf1o
pH+GsDqJyF5PcySod1MQ5tVrbmWsldD69c84yGhFNXckKd5qO4NnEu/zwuhZ6IeU1JSo5lV3mQIi
xmk3wF2TsF2wjsB4keLMDuECS2NFdtsC8lIRUsqT28ov7/0gpk4LbExQ30GmQr83e3oH2FF0zWEY
xAHh7mTRqa1IPbWkn/r03XM+GowavpMv20neAOzktHw3ASP8f+9X+9Xm+h8Mr22dvv/b6dX7Y3p1
vvB+mQdYnxc6b2+yM78ePzBMTGgjHthEimF+vPN/O37cLyQY5gg+tEW+D4Akv0d73C/YQQAtcqIx
3P5NuL8zR/r/5E3jEBP0CDgWCR/gjTbf3s/Hj5KFy2HXkbMeAFSpEYScBVP7ZHh+/FmrweYmnkP4
0mPGgmbMZ8PPlOyUk5jLyKjso6RhYtNREbDV9VSjvcUMjpYZBNdJ6ITPx4kSqjgssmfhSOL4vMNZ
MI7mKaVuqsL1wu4/FhTD2DKvNvrgVLxXwnSrCsz7VeB/jlUIFTUtTdY8fO4Uu89UDh+aivrhiDNN
zLOGSTvwoimMV1p9+Vcwr0D5Ui9sqOEIox7OY8cGmsOiJLjcPE2ZcG+KwsH7GpHbB1acLwYPsL5w
nY8uDy8RUOG40Q4OT5ZlEbL9lgFaMebPO/bZ2zievrFh3nU5xX1eYhIT7OmB7qJdacS7geoMDu4j
Yvuzn3nYswbrRU7uq17h/gM/T3UllJF6yEFr1Qd2Aw8ZX3AB+XGr2cEzUp21gDhtrKOq4BYVv6a5
/1Jhpcr18EpyiJ9X+WdRivdSMNcKlSuyi6QQgpyShAmcXwRXKTdyrlnOGyudlYzjN9N0XxN4tAEM
q2aGWdGMdNYA3eIUMM9Cr4vFMKOvuJLqi2zGYUUzGKuZdBBZU2mjH/8gZ+kzRAuFpdwlP8ha7D4s
/q563S911zw5MRhnkqHutdHM+hgzAUWB9pQPebChFJGG2DG6aaNhU5qJzxW9EuuEF+E+mmjw4q+R
UqY5LxaghkD2tkJ+Y+0212W0Hc0m3Gia2thjtZkSztExZLmE9nNoyuLN6MZTacF0CHWXAbpQgJT9
+ORV5DaCTAMaOEIHlfn0wWRzMyCg0t/ISsPP3nk2fqX2FEk+C44oSjddRd5A6f0tgwkXZXMfmCgW
w8glzxnCY0zqJXbCZQPcMoNI1pFca019rlN5KmrzRsiGVxyQmtFeJX1/Esz/wgtxCjr2M8iEdy+o
XJJppKDqKNDpcIUHXLDkvSGfT2NOM/CSUFPO1iAHdl/lpX8eaxd48qRsdxH3ffmC04sRvaymaEGR
ef00dBMUfyXe4MHRFafzCAxDfTk63V56EHccVi4M6wB5lLZIh3wXhEBmujHDImBXa1fFt3RAi03K
bdvK6Cc1QcrRBLcJOcWWDUj8EncqixmJ8aHc0WFDhB8umUngqvDMB6fmSeoZBsTVkWJ2HOKxTVJO
G/Bp5+KZXuqB2qriSmqeYdWg367tlrGTPjpleKTk/G4gV1Ohj0RWfJenR+5NXwkI94uqELtEjPf0
sD9WlVauhB2xNOm5fARcV3RvuAc5jQfVa5NTr6FlyCZaVnRnLlskZNaBuOdZi0MGNCtUCGVdDEad
0OSA8aZy01bUMZthh/IVvKSa9h4YCVQfJ/FJw0Az7GmEhItC1+TUQMzsjkbXjusRg4L0873njJhA
auhkaOI3Wp4+GuC8y5DfwyDCTxK6W7Ppzp4S1MsW3cmqugdfBsem9NYjSfCFW+acmpX/oGOpcYz0
kXfjhpsp1grJfKU+hZfuwrb7avtzmUl+7rkyJAaFWHb5HDLDUqR7j9N/hqueh6bZyd46+9l4MAqg
eUChdtj4ea1R+q1zJ6vYChdTeme2YutPJOpkGUZclqR7P7SolTENB2HyXumBjn9Ux12EA8kxhms8
+OeI7me2xx5dYJhrKJL0HvFt7MOco9bJtIup5fuJQOEgu61Iom0LIo+FA3dLFLselYwERef1aBNJ
dguQ1UJIgq7Adpgwk4tIyB6W89Yez2EDcaKhQszM+33ojgQHnXIdsZcNeWlWfvSgWRK+QHZfBS13
w/Zx9JIPUSavfcbm0KCAEiSTXNFHcY2x6cSddmtTF1iJ7/HQgrZKbjIHHGjI7jrKXmMw3nEEdaY0
mdr1rGRsf3a5LOUQAppAXKpaHkY3uAShAoGYEUagf2sAYC9H48RaAuS4B/Seh2VtmQvpQ2dQ9nDs
Bky9oeNfpfCeAl6lB8tsIX8AHeYB37O15ypXkahv2cF1+QFHRnsYKvFuiQTMVdBsYg/HLznAVZTH
N4bfv5aFccEz76wsHVvc6IdrUAXjOgVASH1XF11UnR/1CS+bsI2HFFkG4vdwizP7anSYTJoiOlvQ
MvhDJN9TcAgLilk/JPvfyStfGg21WvO91zCKymXi5S8MxSQ+B3zcFLXufcTWC6kZ0nqDU++Rsg+J
X5wlJ4PRjvti/nnZ8XM+p/kbsIZu2RWRuUfVOda5vgqayL1mHlHENDT3oZGd/NDfCgWoEs9qyJFB
ZUBjA7OlHaLhPSr2vZdtwH9ydgZWfRCR1lGxYB+ChsW2W9RvbleEBFGAKDiNPKMx0OXYZ9QKm+Yi
IfGzEEl/Qgn0YnyA1LMGGfulFkAGpzZP0rLNz6GaPusqo/XGhXUe2fP8Egf3QRqeY2pQPpOWqKtG
+TeyInxnqk86HjkyMD6i0nQPAxZsa+Ewvy06QU1y2+TawXTFLe4y+LwNKXyZnv818v8Y+ef1yj8f
+c/v32TxD+7b82f9Pu5jW3AZpNnUYJ7z/sCUO19sAYF8voSzpvEcrrq/3bfFF27ZaE6oAL8GPn66
bxOs9U1BKv/HXfxvsQH5Fv5y3yZKbzj812xkB77YX+/bRTJ6nCVEJDHbwtyGOfdVs+E3JMZRL9JH
6v0euVXRPj0OL6GhsZCnl1pO0wW28bW26M8WmGYf7ZT7mKPGs2kUtImU4Dq5VzAxUlKS7S07xwZT
sQaPerEPBxlsBx2/m54oRCycEUUgY6TK8JFXrsmNLz1FNplVGeguIRAR7Hotvcim3/JrYweb0Cyr
EdPkyIYGOJK097MZycMbZRDZq1Ukz1GV3FkK5C00Zf8gKapEDhtFQg+Uu9VDqMpD6H7FixVAZhK4
YwlTd0F9IwvvXg7OXUmehKKNjGdnxNjxbA8u9QVtYj1h0XRXSPjRMqxHHzG6g1JXl9mqBSVq5N4u
hHbsIh+S+1pHJsdCZQ73vASov0HFRnD0YvVUzqIFQiRd60+xaLYmAqXbqrn4m+sx0qWLhFkgZYay
W8VV9KKQOFmR3+P3wdwwq586Mqg/66Eo14TqkUjHAHMCkqmypnI2aNo7iAcB5FaUVT9nFx/NaqtE
du1n/VXNSmzRgT3u1EPfJV8DVY3rANHWpEMJJG3/RpXUAZ71U9m6d6WbnarUu5SV931E/o1nv58A
cR1K62WYFWI5WdPSL/R7Syu+psqGxhdVHM8mue9eu2hzcZBWe1vup/FtVqdi01U4GOhEDtaYK6uV
aVBXT5vEM897MuUGXps2pP3R39J6vPaKHDsE3oilljXcCi1Y7551ab3qWXUNZZQNIPE60O9cu0z3
fGd4lFs3u2Oz5B8mVkx5TdIyHLDkhJ58bYIH3YeVgNXuJL30eQbuYAAK78bUlI92VJLmTk5Dosq1
Ew4ZdGSDPZqNca6pICY2tXNqSswQDTflHazqac+lql3VuvjGBd5ZitK46pK5JSt0OJLTruXKqXOV
LIriZoxgK8vKH89+ObEQTTFOYv+65qU6EAjnL8U304uRSVePIbqXFrF6o1t0CQBeCEWsUGojWhFh
ZmsEtSvv0xsKvFZuqK+DYFrDctzZCOZspWlrV6vG4RlHo2WLmc3rWixgvYcAPy3jNrlr6vaREDqe
r5y5DPTwQcfvPuDuWeJGuWZx/55qFIhWcf0SdchxGo1eBFKnE/6EhqUK7WlMjoldvoMSuCiAmLwe
QXz75r2E85Q59dHtsi0NYRu7Mp8pC7rWSOnsvFjGsJN0qd2xA/humuQWH92OIwU4unHFV+SwkQye
0AS2fdTtYy2/+MZdy30jx8xrYOql6guSELZXbfb8trMrBRNwiRm4wRTczu7gsZBv0QB42sU43CX6
fTQ7iQ1nulS6GR6d2WXsJfKmCBQVPNTweLMTGeTb2jPrjZo9yubsVhazbzmfbbhRk+Flxpa0xdg1
V9GW4KF9RrBCOO+uKV9s7lYFF8oGc7STB9zdRQ79qUHfl3p5kSmUgdqDCxrN/upSeu96BPwNlPLK
xoItHIZvxxm+CqmxR+mzLZYDODp4TThm4IJy5YhnU3eDuzulOowhKHmCOfXijaVYW4Be6cXF5GPG
Wbtym2JtC4z4knKcKR6XLNfvRpVeBm0gEx9pGqN2f07i7KRjPvdnF7pNLc44+9JF0r5idPqOxIih
sTa+xY4f4jHqgJHy2sDgbrBj7zG856I8jh3FEBo8bwzxqku+mbNDHnrdgU6FD4V1vnP7tY8Juhva
XWEqfWvRcLXssNuHyTCtqDU6BX7+oet6c7IMrMrgFGSCmAxdP8C7X6VzXBE3v4er35mcVYbLX5Pp
sWRKp+OVxBk5AIjUG0ELeTAHBFjL3vRE2daC7EASxXufLEFEZfdJpzvntpyDBsigd0BdqI3yGrnM
eiaTOZbgzAGFmKSCKFwmhwJgHbOKSZShINPAPIfndWwea9IOYUTsoZ4DEGgXCzGV77n53PgZI7rn
XG27u+sITriML9YYhlzrkqfaHb+1k3kf16T41EgMzWfEcPTg4PPwIJbQvvqkJ2dHsHnKR34DdWvv
zTT+tEQINq+9JmHzXqXDKbFMAHdVuYgzZ8+BCACRaLLePVdYTfc2xvu0NXHOetG215wjWk/JhDMN
d0NVPtgygKJW72ydSltgnJ+UO9IaLO1hgdME9EgK7svsLPjWCGPuMHzTbO04Vj7lVniWydRQWvwg
vWEr2/K+xZG9cNpoL+r4HEjv1hMcN7qon2U/O1L1dB1E1YdsPcoWpHWNE/NltCcyLfVTT7pyHL6r
bHrRArXDKP59rNHVlRVdgA4T4Bmyg2q8Yy8bg0McaZ76BZrEclbDrfNsNvVNMBP9Q9D++cz4Bwwy
rIaZ+88uHYZV39ylKUOVMbcDKG+8nQF1W3yupE4JBC60vviOuLPKNBKu/dw1kFI6kFE+0NcT0zF1
BC21BLoCDDbNRQVttEpFdHISY2sM6joM5b0tC7HqqdTuYd91Fr0HfdJQJzjpDxaVCKGpHgIqErBK
AgAraX0z7F2o0aLQTrBzsukbNsKG3WfAxpF7j9k7RxXTwWA4lWDLH+EFjpJNZ7W3TVpc1ICFZJLB
xe2HXTJ3OoA++ebPLQ/gOIu94Am20OL4tXJo3MAI/Uo9kkn3Z/wBeJGH9twc4fXWbTJ3SYzCA9mY
brnOUk3AFnQNVLGgimHkW+ThHFBKYeMxFHNLRUNdhT33Vkxzg4Vm1CAMkjBd2XPHRUXZBZGYTUr5
hRmFz+PchhFQiwFcCJmkSz9TvV2OTX7ow+qtHJsPrAJc4OjUqOdyjUqkTyHR9mVN70ZH/wast7U1
F3IomjnYHlDRwZ+e+kludigsyVzjAY/fXyZY18u54sPzq7uOzo84jo4FIfnG51flZiRbssTBz4hl
vIzUY8RNUGUos8S9lvZQqS3Gff1V+Si5Y5ccx8EN13X8PDJHJkbLi2c+6Zm6VrJ1Nwh2404NuFwM
jLg8VwOfv2icc9XjF9e3+nfPsR60hpABy3nt1q1JLBNR8hepFyDrOqHFG4LsfxZrGUeep7PmyUee
XjRT4kPl1J6IbqGCNKt0bPkKlo/fh53bzkKMiHOw1R78oWNhI2dYaaR2mMavYxQAkZ/0ckW79Qd+
l+j/YMv78A+bkf+vLadygViZ/xEYvq3y9+zPM98fn/fr0Gd9YbvLfsWxXeEQXfppx8IOl9wkmxIM
fzrL1T9GPpYoPMP92R04r4t/Y6fNsUn6C4Qw3F+4an8nNklI4q8DH+F/vpCtg00zsSrOH/+JPoJZ
vw00+i1WLZhQ9odA/OroOjiw390jZVGnvCIRHAL5SSaXiYe4ERYBGLVkkAvCyAahZKCpPPca+zCn
/EKzCKFS9k8JMHM7SvVtqhs30HRPvB0eesM9WyE+lMI6taShtZRYNAjm28R3b4euuktEeAOg8VTU
1YfZy21T6oeSDLVGEn3JA/vr0GevFC6eVeWdHR6BEcnsjIS2Pke10V9WIWSjxuYaKqZNPkCAx/w7
rzROLisKtrfakns5j2fc6YjFrWXfTTDXqmpc+XNOnHxjRG68YC1ZzEVT0thpIj+jruJdM9cVykyf
wzeBD4GE2t1YrYSC0u47g8jgQz+e+865mciuu0B7Mex/0gS5QBSzaGytLbXMhEedMpY4EvC9Thmx
cZQRCC44TJyoKxXz+8RTZttEXMjRu/G7N8fqoyLHjWlwJTCX2vRA3BYxmDW713yAI71WgYPsKlrn
olIM7qZzU+b4KJP+CSjBtaqiU07EHaeUdyLE+0SB1cYsR/pCByT1uNn6RfZN+vZNm/Vf+yg9amXj
HrmFp6HamfAOFp7rGLewScJ35ZZvQW4QHvQlAc2pqq0Ho0AdNVVArj6mk9YV8nasC4/sbOPsqxwr
qKhb59RZZNJaoe3o5lbM7AMPvIbzbRQv40T61fMxQGHP3CYeRoFMFJsBY9FD3pv6Z9FKOgwdOTv8
QClTpWXUdIyF/BnohCL6QCWiDtRrGDb+QE9I2G4ATMzTTomvFK+4jHbtj6B77bhnTLAUlhCC7/30
6s0hFMLxOWfk27+EsF+EMPLV/1wI27bZx/d/yJTk0349FBG1bJyNPqFy00H2+uNUdL+AY9KpwiBr
Pjde/OlYtCEouQBTTFjwP6LmPx2MUExcDygxOS+2g3/nYISB8teDkS/ACWvpwjUwYlt/8U0nrguz
p0Zuzt1gXGU2Lkkn7UJcC6SGjUJkZ6exDi1nyM7s0K2UdcjkbaCjTbjVsKq6iCavcZ1ZWvysO8Gw
Ni1IZgntH0fNGrBjz7H0JAh2HnAUc/TCq0kN5TAdIIpNB0/kHG2GPhHgKd713sjWY1GR1ambx5h8
8C6gYLLN5c7r+2LFzkJtJa4ZUn27jovtY1aG46PWLoKh2SYp1V2i7m/ICkVbG/TKo2YSdjG96eQw
Yq9GZJvlxBIVw0dmn9wYCUsvx7uqssVZRHF9NeWTnew1Zct39noZBqCUnJ6WIEeb3WOdNQ2CDYko
gIaJZY0XmiSsbc62CgQbwamwXgZ54W8D/w6xazoQ+IWOn9Y1m2ByDDAoibeV5av0kdZHQz6WBZXD
oogvDeDBQ17wtg7jpd9U4abutE8f2+s9kOd23Ta44IJmlSOIlINv7IADuovJZuEkDS7K1HKPTaUd
vbJWpzKfzcUdyH4aQmgObJ2PLOm5uLPqX1l+0G9SgzWza7CrhmztHb2aFJ5SwDBpKn9rmzo+AQeE
vq28Tw7kvS77dpu4Fv5L0W/ZY96zPj+PqQPoETM+Ba7GQpU0rco6TTcepstdaOJ37wO2zeiY4zKk
qDVPBIV3sJBxSPs3eavRMF6N0ZsC5s2y51E6RIgU4E0XJRWDNeafMAke/YS8a9GgKeg51mKUfcvu
73H32sRPYxQyKuVE+hLQ0LIzmZZYTBr4lDTkLnK7A4yTC1tCVmUKiKGdwSZVCilNwwWM2xMWNa8C
wmYQagaqGse2OqmgELdJnl1IGzo7YzIPqQlQB8j/XHCnr0kRguF2er4c8lvXaPFFpAajoUzHtQX4
EXAhjTOpA1oBX0mxoQOJeKyh62enHeJj1yNUzf802On3KA++Zk1A6aQBGXL0PruiJRWvheC2efLS
0FbrPC0KxKS1JHlg5QfHbJ2Vrago9tvgzVa8bIL9YAhogjab2UMHgebw4//9+J8gYZbOvbbZWJVt
7zJNLtrpmg3ODbuj+D4w0Uv0XvFaKN2vQ4ABKrZwcYd5ee+kpn6J8uHN1VO21KEzLpKIRLIfdJI8
Vmld6kTSHky11DQ7vyXVAvA/iXPyHpUdce2hrfV7qiKuLjHURdoMztKZ3HE/NO7TBDFwqQ3ebTXW
9XZwYmuDGdXdhHo9LCL7OCUmgJ0uM1dF6dkbId1pg3d0ZTSldyiLtIA5DwTB0yLjMOWOfggbGhaj
sKcKZ4whOeJ6WTYmMYJJxDRfzzQHBWzGr24i8v9HF7PJBifLsIjfO5xApylEjOCFufc8RfGiOc//
pB2wZ/Nkl6KsYAy11r1oxrWbhDheYdt7rescCeEpz4XLQHekSThzJa2CeqyIpula9gNINAipboO1
pTXzdCvdqn+BB9FN7qcdDtYWZq3cNA1DT2X4wP5Ti8KYyqYxjqO1iuOjlgmagjJwOqn+8Z/76P7T
2PNPk1N/osf818DF/I4w8/79Zzxe8/h//c8/jT5/+tRfn/PmlxlWxgwsdN80f+y1fnWY6fNYZHC7
xyYGvdn7Cb/IlCMcAY/MnSGMfxmAdGyyrk44FG+q8P4WfhGn7V+e81ALCWkBj/G4irBLmw2wPw1A
oh4JcSUwCwhTp0+slDULeH6x81qW+UHLe6BkjUCcaIsDfZ0ongidjs5ApnZhItwpD1NOreU7oleL
iSpHPA0fHSp6WIUrjx5oNjjrkGBBA8i115IDdlDKSeIJNkvHQ9teoTmDz7cffRWv80AdRl3cx8I/
G8p4ELHOTTiwHg1TbBsNYHsU4CwPX1sv2phJdtULbVt7OGKHOXqLTyzXoC9INk9vdWEfMcORZi1P
WOw2LIupfinXbdATNUhOmj/t8pgKXeLdV7fVvgPup1qus+aSDuLW1oL6mM8gUSSay3UYwcD3vHVS
+euySh8bn+KNQRy10eJHIsCdVGdAV6/k7W9SJZ+MZHxhg8G+AgWefo++UXed7HHyZaP3UJM3Huda
rnHot3lC7ZhPHYZMd87YIAuN/o3dmNOiDAZoJbUlXgI05w1lzf0acZH4bqs9Kq2C0KJhS0m8F4J0
07oLqAhJRnrnLS1zXpoQhprh3ZejdhcFYldZ7jELs2MUBedeVtlCOo9RMZ6rLNkO5KjMNttVtlzZ
5WAuLaPJV51n7k2rXWcccZWSh6mrTlGFMZkoUJD1lxTbHjeYdTW08dKu3EvU2mePgkgvzi6ylrtI
5JdOpyvND/Lvek0TljYtRCYp7ZnDW9GOgsW9WwQvpV0+RIyV8SjPPK0RmejBSFLITw0OCrTHiEWN
jK6N5WzdOiHFXiCOQ8ME1FeY3W0gSdp0WEQc4q7k1u67Tov2DXFlZ0TtwhhjYTJfRD2rv7o6e31M
aSdtHgvLrJ77MjmmLYPUxCusUYJH7FCgzWohRTF9d297bKFoFADhEi/5b0L4IlflFbl/BfE/x/ih
mGTm/aRv5KDeiZuVOJgV3UP9wI8ktbe26s9pNt7k803YcyP1psritSn9E/EgUgc2i2CjFWB+dWdv
Qte8TlV2qBk9l7njHB2bqHQ51DVKXfxYMEYizFvf0lKRrnfPpsaaucJZuMx0FLFwrHiYESnnUmt9
ZuO0q10CMpWBmUK6jbMk8vHC62vTpdY9FI9oUyONLKJRnbS6WmuhEa8IPa4cLStXUPMUhrRkuDDG
flUWPfW9Od3WcsCV1kERrxX2oKloLilbggIpZOnXRbIsffsNWtHeTcuHIDLWAzWy6LikfZo0xQ02
EnqivFRFN2Zrr0L+rBb9OpT7gnIiHxcsilbzln1tG8swnQtvIUweJ802cKlQoSzxaHsZfz8EjeQu
J3/3Agh25oqBJaoSmmBpcGBy6dYsYcvFVDafEN43/NRHAeF5hQMU7HdBbKXuw20QhZ/stV88uAi6
7mD9CledS+l9memnNnJPgyluRDBcULmWPt2mldneGrK92Lb2OZXeY2zOTiXH+Bp47WcDmy4EhQwK
Rh6HRnu3wP3QgMqyBcQ6AICbjqsh/nQD3R1+oYLhl9XttnRAEeZELIn5VxuXtoopY4nQTysr5e7i
D9qOICGwuKy5iqEjbGDY5HyGO73OyIRnE1U04bYbmxfO2yMX0WQ1KvxfKqLMyk/Pk+YeFRo5IRjz
vVHV4xCqG21s1iZY6y4fz65k36JoZwL9vK6KTF9OipdAPcm11Gzo/MaHFrd3TWDtWL/wqqEfxVAf
6ZyuMWxyd4JOPQcSrt9py6gpbowwudNsh0APu6t14hjPucnLqUB2gTQ2cUBWRNp411p1+oSVaS4d
b795joJz13KKIEQJGb1qmnkoBo+9Fl6voYiepBHXiygMxKJwkLzgDn0jE7QZ3OTEmv3Fclp/mwTa
u7T6Vzoargnb1CV7vNc6y8tNABaDC1VKYC6T18FTr+wWPsOJHKUSuTxbteQxxlWWE5mJK3Ctb3aS
HnESY+aISZD1/oSNEVKYRf14R61OZMrbavDvg87Z+U5y31HYYnDhxGWW8T6Kkhuj11+UXcu10cmD
2bsQhsOXys47VESgC6N9QwHLCgzbkZkcW4mKqL7qUeykXgxY+KhWNJ1tKDjTwvbOnkoSlYqlfnTX
43jWInnKInuT2bQgOOIwjiQICiJz27xu3420W8PxxnUb5E9YSljJzXaRsJ8uuTsewjY4hPn4TJIi
fnJy/2vbSMlD0WS2Q4sKczJtvAzoSaG7uiKx6hUH251YPs82WtysUwGs1ODx1he7yTPWXi5vPEKK
S8igrAzKwFqZg+SNO8i7UjhrvxA5FOIAhBxJYmVoL63oli5WgyEG5S6VRc+ON2Nd/P62VsaTR/eA
XvKckVKwup+e3UC+S9v9sAC95zUtwDU8htBpQDnAWpVHKx8ojfQise86J+D86o2p4u+AM7XRrHWf
WatecbL4vrptBKEXeARL6EXTXaYP+sEPiLUs6kGX3wbhqm0y1AyUoo+OMcmZteuO+lfJSEI1emD6
NwFtkTljzZiuvCFIvrntj6dL49z2eLXJK6o17bUrGczX/qrB9hO6L5Uhn1VrUJEm8fCEo7d2xyBc
hWX23pBR84rhiPGd0Tnvv8IQZOMe7FSY4SENqQMPdn41kpJtOnMTeKyAI03Eq8nqEETMS9Tk91JH
gKFBcufGoXFPbzi+I91kbUVU7txIdTKSDGNgoRbuQG9pKpNVih3ApPSStavOVa7fIJjcCk3US126
4Z2rtXBwYriTDDR+uuSupu9hi8zIuQA6Q9yzcNHGcFgCF6vXgpUlQmsc3vOKdpjSZ/+Py9xSs68j
6tuDT8vD7JX2UfY6vIcKm4Vqv9MI4q8zuyZt+PcHmv/HNjS/xPD+XU/eTVh9/7cJGPGHI8/54qCB
z3AEW0eM5AO/jif2F9syfVYmNq03Fma4P7YzjCc08prwl6m1QpXhQ3/IkA6yJn00JGSw0pFo+Q3s
ef2F+s6Qx2gIEvTXf/5vUJKuOC2a+n/8dwIbfxlPrDkaaJCpYWdHmG8uyvx5PKmqOJy8EVKQUs3e
ZH295cq+bVoMtOacQRBzGoH66nQdzgmFxuChOmKgXfLNiDU2HH/PynsjSDXkmTJPQdNgcVPxczJn
v+cIBDqHuALhssClmCcLj3a/zLPUBDob9/f5qM0FKFsRsw+hxBxwzA7IwyasrG3Rq/LUAI8HzpLg
sI5eLfhBIGXLB9OlZm6yaUknDId/rKIlrJRb3lmPxtyoLududUaCVUjZunLBMzFP1fAnk20T9t4G
EDwVGnNLu6/T3NFmMd4WrbhlBGIqoM89ptcdyexBC8tx3RrygdK6VcpK3y3FyZwr4Zsg34z5OG+2
SdZNxRYeFflaPX8CW/19KBOy6/TLDxYtmrZyripzTu5cQu9klrFtICvMD/dd4jsvqU5lvR+NX22I
WHrh0kFLq31Iu30519wbHYX3iSkuWtS/4bt9MSkqzyPce6RNUAAb2z9K1V5LN1/68WBAHcP9G1sR
tLY+ArUTmfMjz1c9LRIROaeJHdzBwxy9oKdk2+nepk34WGLC8bL6pj3qGY8dqRIERK6X3mjc9DGN
nUZDcDpO8HoJywlWfLcxvrB6WNupSyKIiwej5yjL1F3obQ5GbeYUmW66EpUFRZQCwNXATZlX1sTx
2OEvnkgqteqU8fMuDJNvDQRRiDGh8baGaPZVo92m9M75GWTTaMpvYaCu8jY8caCpdQF6Sg7Nna65
7lcdSS2Ma3ctPX4IP/A4Sf83e+e1YzuSZudXEXQtNhj0BEa62N6k93luiLT0LmiDr6FX0oPpi6Oa
7jo93T1dAgTMALoqVBWOyb3JiN+s9S258VIhTmPgvxnINewSkYrWbyRayTGFNC0FRiUUqcexkXDN
6DwWrf9oEYLERgNaY3kB41DbM4EE3ZOKyG1EPtLWfJtaT2IJOBNmQSnHx+U05qc1WbD5QRkzyEB0
Ze1LZUvCL4unDEAf9/eVtKoHfCYvs5azDAg5kLdIZC621ruIn8oXrYFBzDqDoEMXEyGQiWdq1hbJ
TJ2h6A7n7sETqA07t4FmjL6mR2cTdF6Ez4PsGS3BcdHiUMbeIjTZKHjqzBWg/sw2CX/qIkfF08TD
DXZQbBP5d4/KZzCoNmot/ElqzGQCLZBbIOjzUAdNDj6QlhGdUmgJLMe5h0L+maIoWtwCXGtP7EnP
XrNlht/Ccc000NUDISUgvFr5uFsgvtYpg2MbBqwNCzaECTsUpAC1GhNryOJMnCWCE++uKYBzlaCm
jaW+IgeOUOyM9nghCJyZQYnWJ6OGXMmFYLdouSOC+zHy1a0Xja8JqZkE3maviBkffdC2EbjDjJjd
dTNiqM1ZABrSekrB4boeuBfjJyEXVO5Ecexpdm6lKbrZZOBcgokYiumFA3FgKAxzN9H03cYW53aJ
abcB8xYq/cg1qLdGCEwlJzeDpvgqQrAPfL1inTCHjjXrFx7FxvGZ9PYqKFAdYq312gxEBbuVyHZf
6VpJFc+pU8EID5BYIhHd95ovLEEvOkZ87uAtEXXG1lkjmFINY5pNInmhM5lT9Z3VRBxNJOicnQih
Jd3SgLcQa4hjlJDXO5fGNHIu46mcd+TZQusQGMLyuWBMG5bbGUVa3nnprh0Sqo0u/Ejc+OhErMRF
ZnzOGP52i2sTZGZ4Fk1Qmr5QKSdgRlF0+l7U723cC6o3v42e6bwVXgwm0pe48av9XM68Bv7sH91l
ui867VSsRwLO3Lm8rQsjPsqcLtx3sOLx/fJ4l/gjrN66CitZX9Mg4THEv8YLmyWY8pzMO8SVDU2E
GMxqHoPNglCmP5cTMhzEMdF1xuCdu6UnZsN6DEv7gjPxSri42QrvsCwC6ldJFOe0OIBi/XbL1/cg
m+6DM2in8cNz3B/GRJwlBAWX8Nk9JCLm2U6MuGp6HWDibRdEFWvTSu6r3Kw2S8qrUcmHsRGPTQyF
1xzuDW/Zj216G6joZiYI3lPhXdQAB1UFoFfs1GKAH+YbLx4Jcqsx7I4i0aMmh4SzsYO64sXDLZEl
UB8bnS3OWW6rgQSuQV2l+EKDrPwcpvGVUFm2FmZpQ2yXjzVkUq4ga3yucu/FjOK3Iglob7ME/Irj
/LBNTEGCR2Q1Tn634lK+mWakf7UImbOTIxJ3xZ3WjofRcFN5Fa9EGrw3Ut4vQ1ZyBFXbsh8RY8Qp
M0d50cPjxaDIgsFenpq2fyXP8bknYSQYuxfXx51J2sIFZqtLuyiyY1PL4AoecJxtbWmGl/lPf9/M
gfkQhPn4MGv7X6mNgIG2BEptDuQH6E++Ngw2OAfZ9D6TCWtuzExseN9/TDMCYP1xEtcWRgkBeO5T
jxdxIrOXuw7gTIzMJD73JkS9YeaJn/Ezhvgae6hmC6TDFXyEa8szzpG2QPZ4IRWeyDFTd5M2SZa4
JWs1vQcpE1BDGyn5xRyHCKyTIEGPgv0IhsZSrhoXq2MeEYSaci4r7dB0erphLJuD6vrN/6+2MX2E
Ab6Uv7/439TvX8XfqLf1r/qzGAoJlOdqz4rlmLpA/teC28JWjqYJKRSedDJJ0CL9qxyKyBOBEx3g
hYlFBRr17wtufOGeSy1uOf9HK/VXBfY/Krh/Zj794jhHCWD5TkhLqTVbnm4Ufl9wRx52QYdnjzvG
qi5nZsNsMtMMDKE1mW9VmQ/rSFrXbgzVAUnrvBExbM/MYHZsejVARK+ar4KgtoxNMxabYpxP/MiX
hEIeumLZl2P+NnXZF/vS11AGq9KOTrlsTBv5autep0H6KRz/Zg7tH46feiQ1juY+QXRNtgOYYvWa
RPl9ZxnLBmHhsjIt/dos5gWLyucsAjDc2joSria4PM8rwpNb65An1W6JCb1lR2uS/tgac3zpeOoD
zjCNLpqstZHzKvW2NlSOPqnCMfz1GjMJ+lI4UZLpWyO6TUWJHoXJPRfyW5dYt7UYkC/TEKOCJwrO
CHp7EwwoTYfF1zl88I7E59BKfjj8gSs42G8kUfygobmIyoLRil8piFAWiwEqCntqk61bVnu/qvFN
Zjt/xCQdDvZdo7KYD3ZksYhhUmBJPeAxJCVjrG6mqkDfhOlSTYRvkB/J4P4HGYrgogpQ/3lU7dQs
vZtMsCoPXSEOTcu0alpgLPthRihM3HoroO2cZ8byhOU3PlfBF3+XZE1GtUFFjPHaWsjZ7XH65MK8
cclszp3hk8/G2Q95/QkmE8dhXhxVpJCZsTmZfIL8jOCBw+V+CUuwJQxGdxOqKiTZ5Usb1DdidsOn
xBxe+yo4SZbit13oPI10d9gFpyt86PGmFdlnWaknVwpj21rttZWNAMjQ7G1kyCy1E8Nbi7B/Ws1N
gZc1CLUP5VgNDoEtdkjZ40lxORvCu7cA7V+4MsMxbNqIPvjlKNxhSln0lAySqXzL57boYPVXdred
uwETNIOL3dwyny56JMayIIA3ye0PN8SpOKKApg0kBDju4wpvLFxSJfjMm9HCHz2jJvc7g+Cf0cZW
zahyyWvnIPFzYORqCa6MMYwHfnyey9hdUTx5B9nWwBrGGq9Jccb5K6kjLbUVCCJ/0BDWe+ar0cFP
RiBXGeGCJZ561yK2puF2WpnZXIBNxWtt6251FG4AQaY9B17vXY+dcRxMpqGV46wCx8fwXjSbRgJD
mSfp7GMyFh7aMo7PQZxU+8ElaUyo6LpANs68loFQlQH1LNGtSWH2ZE9PlwmQdqcaD2gS9thpuXJD
9kLMzUuU8t2cbBxcw7u+Cd8cL936fjl9kXigARMAxGLsOZediSszqQ3yasbkbIu23aRkDa3yEaGj
nx3Nyd9Ejfjg1GBMaQTUkLyidgIRULkKBvx4kIHa525zDA313FWqRwrMnt5Nvsm8f7RL/w5r3B6/
G7ybNrlYCsTWQzgSxpCPVEg9WClXHXP2n21sv/UV9pgKBci8NIektOGIlSi0A3k32+K2VRM7KLQD
wm73FjDGYhjWc1Le+2P2isOX9QE0urS8RORzXhq1Q5n8IV2iYVrsd0k2X3eW9R6Ewx4IIKmaI6G3
gQGRqz34yrmq3LRCLx1fd37zGQN8j4cCcnO1bYxG4okZb+uQjZ9hcxJNfX1M8vnb9+IdV/2luQzn
noA70df3VlHtDbNLdikdLYuF2IOQ32KqamCYKX86BylrroQhvknaU0n3t0EKOcHaB1YzJtK6GHwJ
A2G8Mb3hNvLh+Q7soqS6qfxkGzHadk3/pkahrgxcPxHPoYuCAZrDLs36W9Q8ew6Xe1MCp4+NvVWF
3zDoJ+KJ7GMbskDM85z/E5rHOgPG1fS7tpTvcTd/yDI/om370WKLQyvTUwBbyLdLXtBwOk5FCszN
Cr/qeOFxQjCxIfj4e0GRv5/sco9eyDwy3w/2EEp2ScA9APPkVjWQ6TgCKdALx91LVkBr7jjCNaP3
IU5voml4YKZ83TUL/I8kMLdTagWEpAzPquIISRP5wwPRXI40BCqcs13nqP4SX/hskrk5+3D4p+rR
9eJkazHVxcbW2XcTWKtbVzukRSu64x+vrf6uouIX3cXfnnf+RxZduFQ9f7++ui7e0uqfSJ/Tv8tv
9ZbzJ8v1LEQWvuXaGPD+XG7ZfyJZDlaP1p+7LrinX8qtwGQWii6cYG9fIAT5y3zTgwYU0KRgO/6j
8gtejH8z3/SwPaPoFIgwwPz8lfwiQSHh2iNmzAlRY6OBFpGpy44if5UpGIjgXNm4HaZ+3y/Lwcmh
tKAWtuFh1DaWk9GLPnDn7eo8uoXsd2hYdoy5e+XSm7egWCgS4qY8jT/Xmp/jzaxpG4TQLKRgOTsX
KGHWkbZrchNxDcqYOZF0q2PTBez1newCM9qzIcQDy4T7CHA6F5NYuTEnbIg8wZytRySCwNAS9dj1
9sHxqaISKAYGFtBEbSxJ4eLMtJS1yE7Ek7BUgeWsPozAvBXduO3i8eDxsrPR2AfZcmuPzXs1/zBn
FJPDANQESiZcEgRsFBclkAqWUXBohryHYmTbDqMLlF4A1ZLDJK7jCWaJ79/Y5vySxQGNLJuIbZxR
bo3JfRm1ryGYJMko0eswxqXBocyd14rFryOxw6pwbxnkWtf8nTIELR7bJ1lDPpkuGju6dtvhaXTa
pzJx7mThraX35UIW8L1g7/pUuh7LUzeqV2bdbLqs3XZLs/ZqknRCtFoZJcJsJm+QQh/zCRRGs7dT
cmW8hnzvKb7PjWhXkzOxwA5mWE05VTPMbe3logkELsvGf5UWf2azbGZZoeqssiNUiK3J7DNqw1ev
7/cznHd/sK5Y/F3hi906RkqgX7XJGn7Y5EfnnuywvPG561IrflDzZxdNW8s5W4z2mvBkV9Hay5KT
zxin8fJ9nuZENpWUDUQxQLgAl2uuk1ydeoHdeO7FsSqwnXmodFc+ZtoVu71jZYL07epVU4XJk3Cb
23oIL6K0+iAuROyXjmZ+WfqTlX0PtTjjEdizULptQufZrYZ7ouYKhLndoS3D/rJL3HGDE+zchstd
S6jhiE6VeTSGAQ9Jsjevx5EAORWcMuV/tz1UNuIRe3HCJ6WteisWvSQLpc7LTJwiMk5WXAyeyz6+
zxhMY1DT8kuwk6tU5zGaBKus/QARsYthQ2c2joQ3kmV1BUWPOEf4Rtm6J+LRsPYDdjgWtnsopUQk
ToOD4E/nQuY6IVKSbLOzdWpkN1hPEzGSUQfJlJi+Zg1dM3uNzMVdFW1GyzCKLSrrfVunxPI5j+TB
HxveyqhlzeC0Z0wduwFMh2tk64w7fjDF5QhuJbJmyLWMi8APQFoGnwqPg8XMte2TG5JUIfpIZuL9
RUlJnFTzWrYx+qmCIReFjZju2GNc2IbYeCwj+BjWNrvijESKOO7XQvobk3kD+RBzqCcqGfvbZb9U
SttW8cI2fCy9PFuNvbOH/CqZrL3qPuU8kxPonkpj3LctxvUwhYwTALglwdvB7qs6B9uHcQGIdeNQ
eDKHfayHV7tYQAIyFLdeFqIQ5xmxJBpi1hz0Kpb35EClYhlF6bxvumRbipFExWiLMYLTbh9anwmB
NrP/jpUH0122iot39uCk5730wbTueCKRPK8B5ZxwmQHJf3RmhTE33REvAzyHhssorssgXjcMsZY8
WhsJBzClE3Y9sknKdTYg0BiBUo8KFfEcbAbYASObaoKUyHChAtNKLprpnJW99dS38BzIadQVZhUl
sLDE45ACEmz5ravqrJ0YCIsZ47vudTO7hwXjsj+Yq9FVVx40nBpNNuLv9czQiN+lvrIYubI+PVdW
fjfX5lVZYZvsxk0SGAcPCaqDWf0RoR/ntDu/IhbY9Cg6uvQ4KdA/YBmv7DG9oMI/RbLHQdwZ2dbp
IeFUzIwUG3tj7hA61VtZ8Pou7mmaI4d2RyEAUHutUW0aogdtoESLOUK8nlAt+3sGkeQfNHs2MrsC
gpHeHSuIRk3FFoxGXunYjsm+7PF/tvOCGEIgVv1IUKuY2TO26R0z0i29/bYuu0se9+cUcNJUkIra
cgepS7yYOye8mAv5LJj1LQSvwBtABEUEimUj/uBTrsvqKGAyJfWD69L+Wdlhwe3cLgZVXXaVOLR+
zCVH5Z1KEew6wE6JlZ2yYp+iBJCWsV10ovzcbnjP7goXkDAs2qaNdqq9tdm2OQ0a4dxljnizpOaR
T5DAtfQF4DVKYLgeI1ZFOa/y5DrJDLQP5cYGNTUY04K1E4tswIBe4zYMwanIcaoq+3IJv2GmHcAX
bZIRE6v0SJVmpiqRaqkeq1m/g6c/rf542fi3C8Jfasbn/0TRjn8W3Pr/UKt7+irit/Htv/y7qcX6
t/lz3SjYBAg8OKjs0NsywfttMW7/yUaAC0fL1mzGvy4cyUIIEegyRmNa+MtiHDMlo78QpCNBFcSw
/4E5nev/jcIR55Bew9NJuHgrf53TFUT2jpNrcbipNnkEF8J8y0gD0vGW7oA/p0ThxRjCZuGcmHJV
ebCTek1RijPrW6IEXKycPBDDy1CodNRNmr5kJzkgpgAkk21QuTVNRmcejodMc5s8DXDSJKe06Akk
Be6EzzhfCdgL9pROK0cToLKyZBXPwC2h9ZnTBrxVz0oewQ56yyWKt0YXZsdE4Q4wi4uO0LQ8YJ8S
WW17bqv3wZ9uJSQqt5FnqRrQVBpSZZgaWGFhN9aifBOS1VSE6xyyFZFgp8JJ+mOooVezSzZPUi9H
SFvoJTUaq2oo7lroFBHULHfJDWLY+5cKnpar4o9CA7akWX4xykfuC3urkZSxETSunmq0mMFzBY54
6EZ4ajXkrtJzk6tCw7zGnLJu0XyvhdthVqzQJDZHCwZYCgtMCdbKmPWhVzr9bmG9jMnqzdUAsdLI
TwKimGIT3iTtXahRY6aGji09LAGNIWvgkSVuiAB7uZeQLFtgZY2mli2aX6YDB3qAZobdbOPGvpgA
nRXg8VFTOesQBJoXceL75alDLheVzdrPfCJxn2SXMvfX+j/NUlPRskF+YyekCM+oj9EVU/WEq8XH
G4NQjXt4a2czYIPmJtKwNgtqW+xUC/dU8do2yXsE161liSfj6cmuFo2dZ21pQ5ezNBsOKMhjDSyu
09Q47+fz5CAVLQxKUoJM7a3IqttJ8+ZqCZ9jEkNz6FnEoVnu92QK7gsufRtmnUg4WzXEbi7dYwbV
rkE5vIJTgXEdYBCo9vDSgYEX4YBdfkLxQOkjD8zerGraTYN1ayVMAIEE88ucn0K4Jj11XG+zvuf8
wj/l5fCipWtyctmp8Rkjp8y3VW1Df5xZdSfAACl5/VudEBpvijZ9SLiAZcB3X3MrI5Y+OyLnyhEo
DBpm3aZ4VZTZAMU7eiqyhX2zOEfFcmQz9ChHLhAnQf+pi4Y0LNnaTOmH7XTXrEAhRrkkqS7LyXDZ
evuddg415dcM9I2cphEBsbyLQ4vCX14QXLifA6iBlEUiF1svmVmEUTalJEEvlFE4fdOtnZqkKLC6
zqboRLDWhWJULU2moQu4wVVHqaaVAAMGV9S3/kGUYu9Q2g0ZNyulXjwpvEDwKkyKwGbML8xgfqkr
6Kbsp4vEOoyu/xpYw7gaKDIHR95WFJ4UVdetLkZV6L2mY0qJKgD9ifgh4ykcehtb8XC2mGmiJt4N
XYfvVh7Mzu/3i7K2zUwaq6dcXWnVyZkKDIKSSjAGEn3slPFnprOQbWbIm4B45KqBneRURM3lV6Bv
rbWczXBrlviLPB20XLZeUm+TGAUwdaCRqvhuIqQ57axkb45JSFAXlYnldAfGPs8+KonJroh+brgb
mESLx0osLD5LVV4Jmzk6msYq3/WWFR1BYuHz41NHUsrsOQnto0xCFn5kyaU61pFssO5tpKtk7NuQ
EVqgVfbc+lpAlt1GwfhEzshnbgUG5zDD74EpeF77TySP27eUNaeYObk5MzD36OBQNrywSQWPa8zT
rjWTfhUyZ4+Yt4/M3V09gJ+ZxBd2Rswuo/moLz69NnH2BVN7nUKBlPMG5hNhSXqwD1Nlj4s7QhNJ
/N7SfRHnQyYh2wBTrwXcsgS1o1cFJM0sPmatND6mep2gmti7sfWKoQniheZ0fM4K+aNy2pjx3bTH
+kdManbjTsUNLutsberVha2XGFEyXAob40eUjXfoxFHLsN9no3sfRsXe9/IEf1NJjsZi3hkeaxIm
3+3eZHPSp8kPWTRvU5bp1Q+r9lh8BnrZMjiEWer1S6QXMdZsMVbXy5laAk/r2deQ9PoWsr/x0UIw
lduEY+ejKqpxYNKepHrpIxOQyp1eBEV6JaT0cogpsrmqcYY3enEk2CDh7N3isF6b0A8jvWJq9LLJ
Wcxzo9dPI3qiFYkxhMjq1RSAEP4O2AdYE3c712e+I3pe7Hzs8n1XAGfnivzBOVsfimi4LF0LfVLc
N5+9q102aUN2GGhe6x5quHmaSh2bpbmabhRty44rWJXoR4LZsXYWiN5zWtgEiZHsF6iBixiDwY27
PCmKTBd+dNqXMyjl3A9Y1nsBLWgVHmObyJ4l1RAqdpfHeQJiMDrS3oyRRxpr4CErrjVO5aX3U4MO
Rbb7/yYcKRtLVIJoPxT3gydfK6QmMuXnNm9E5h5sL9owYTuOijs5RKie6zegcdcx6Cdg1NnJLLrj
FBrowhW0x3Ep1kiCoJj6DQ7OdCtNaW8Xxc1XRfHDuGR44D0hL8To40Uw3+sWOfmsRgFXH6a1FHet
+dNNU/8oPf4eoYROEEX9QRTpV1xmJMr2MUExPlgG5QIg9YCFsYh5zQ3vi1gzzkOzeM8Lk4WfJfH6
iTDnJqYgiuf4dpI0lMsQWltn9NXN5JO+WZCAB7T/aRySu7FcXlmwP3QqIoHSTOl8LPz6xN/6WPow
Jw+ABPr6xQ7dbZ0Yh3qADO2SAtcaX4y7UcJ501E27rZIiEcZG6S4uIuqkYFVMPsfUym3xAt+d0u7
4ZVA9JtxhVSDdzTK9q3xxSHIyNaMzV25OMcs7IuH381a/4YcM/wrNaaNAlM4boCKwRK+RYn7a9Hp
R0PdETAiNi5Era1U/rEbJ0Qp5UXNn5653RtoxyMYQfKPEA+uTALD8d9+Y7/dkgOdriiQv+ucQZT+
4UgY5uR0tws/daN//LIQ/caP/W3uty/ez09Lf26m/gRd7raQjzSPCpeXxn/AP4DZKrvLDEZyfAmT
lxgrsl9YUyzkDs76u4rn6Cb9+e2JKX+apDJXVjY1uMiyd8TnFcWI90X59Jro56AbzHrjB4u5B8B/
43TgMCweG4PHx51oNTmh8lU82C+RYSfrcE5vqIRfzNEjMV2QE9uCRKRieCe54iNSNeLEaP7udDBS
ErN4KOUxy7MH+Mv9qtXPtUH2YbVw9uonvtHPfqHfgpHXIc7VVy9L5o79HhE3YwleHCKu7haCrboS
V5Z+s3jDCjxvrRbgfFfO9BgLdPAuK+P/N9Lpf24n8Z+yvwz+YdDA6X/9z/ztvUmL7t9vMfXv9FuL
6f2JbDhBA4f4GqqVVlj/1mK6f+K/EVsXwmAwAaLRlv5FCuIhmECPTYmsIwZ+aTFNFvj0n6ZrEl4X
+n+oxdSikl+kII4DJhzeBP5VOk1WIb++7UgwMS5bIcFC/ngaxvzdyPAEIolst301UN5MCAH82QE2
qPISIGH3Af1PO4Dqx8IdqVfn+w55QltE8X4YR3NFN3dwy/REoDCiJDORdBvVxSisD2WIXboASmwL
XmPGmvsyns6AbVi8qRR73dhnNJ4W1rFGoY7zoodqjK8KknzBOnWPo8joQKVzAbeH4ZPrnmTr3IxR
cFBLNl12JA21fXQ1p9F3HPYXwkD6NuffjgAl2CXkAoXduC+taTfH/kfYYM2GxZ8mbrSNxxC6Q2xc
Wj3ALTExs4fhiKARjQDB5yKIWYnPcX4yGXSulV8/9dW8T0zxBEbti7ThWzPhjXdqcRMYmOibTqFR
bEqFl4iSW/ZoRpuQjQwFe3C1xIlak3h5iNr+I48dUHHCpnWxmhUkcXaTiJS3AxfefLQmzhCwzsba
1o4ZoAZXVskHVOFmAp0OwzKCSkM4/K0ZcGWDA7IgKriLc+l0gBvDiD7MacUhrEkIYDoVUtxP4RY7
+gaCw4fRKowwvtqGY3yTo0Wg69qntYv418fo4QGPaUBc7lzM7jIILvI5OcxKpDt/wfA1BwjDJzm3
6yAkWMJKp6OTKeDQEXWQqcpTPavTaMftyp4cexd2Zbgv5oBvm9EoRSGzu1WummJfdy4S/sFqD3Nh
ynWgh7RROPnvURgxwADfuGwbiyjVILbczWjp/qty30z8WyvHRpzJ453s5sIJVoPy00NRBdFKFvMl
dko0tK5T7es6sd57Medg1ELjBgpH+hiUibHOc3CJ/Ck+YmJxK8YIM5yv8fVOSGeONklBImfrDr3g
OObTB6zMK6wACGBxB5CRfaPiVKxGGoijkMNL2aX5uSEnAQJ7UDFmHoyDW3HiD571oNB9EMonnnKi
XCm3p0s4w+l6aKvLPqofcHgdsiE9jKlzkUuDNyKwZxBJDZCitipfB7Q5zdLsXcr9tOU2UoQNrUK/
fHQz75zm5leYEK+Q1Z9G6p8zCzfYkr8meXPvltTR3ei2V20v76eyuexhTw0RagW+Z7o+960rnaOK
/cd5IHLZ4YZhPfQjYkJJ5amij9YDV9RWk4GZyx3fDaMjKcimlvbrL0LRkW8yQmmRHetWaqmo6SeE
sui58DkuxhXqgeBFn3QrBTvRH22Avm726BhJt88jJKldgnAWZWTjf/ptuUXKwv5Lof5KouFjLsZi
2gSp4+gxwndpLMNnnXFSbaKBRQRSILnJW4HCNoPz7sxXXcpjv7AcjGE4U35ImkV5P7fN85h7W/0U
d3ZKPrwTA4BGziq3UZZdS2fdz1BeVZaie0uNG0eT5WrNmMuJ0ztnmjuXOcMxSgX0ExIB14Wm02Wa
U9csqMjB6QFBj1y5F5pnJ1MHFKdm3JXQDIkWhntXaAJex5Zi1ZYgMIFFGLdR23r72Jq/ZBShETNZ
YFpqCa/hY046iKndmD+Je6D30HaQE0oLl2sqn2rbXRP3GGBh9hVhnFNH9eYrXT2l9dhhdJ7Hcwzr
r3XLxxz2n0vmpn6tKXSIyFsPg3x06UVdawbAX96myMFryCz9uPJij7RR5b6otiDbSLJuk/OUnWtk
0FuUrc1KFXxfdRF4tB8o2XIntrbD5IS7IIapWxaQS8k+vLQXv7mMOivYOG5RnriGPnq08FsjcMiJ
s5vAJiULJk5pKwYUVRrxYXOISL86qQxplh/lx5GCfFsNbAps+izL9wH6MraXcX7bN8VtBeRz0+M1
Ju6gcDRE+exWDM6iBH92C2VFv32MzWR+EzfDZZHMtOcmVmoG8ru0wTOcJsVX21R7lL7cV9V4n2Ri
V1XiTEAoCQgxyhlnfgyD+KWx1K4KlnvN7sxw5BMB3YOd7BbyzfPHoVoIa6xLez1b3rXMUCKlPrmg
qujeYHTXGOqWcA/asVmHKnvvTRFtkAGtc0Kc8Wps3bj4NuQI5gvUYZa9p44bbyyRBpuQB549P8om
trNy6k7IfF84QeGDtppumz0VoHU7eq3NXPcf+Kk2YUw4lpu8VgrP5NCzwBACOFkY89iNCvhjHNwU
Hpr3plc2hAE5HiJBVHQuBSLQML5mWU3ovEkMIBMaHkx6Y1ZHw7KylZNApnN7vibvabat14AXKRfe
DRJ+hIATis2unyfaX/vSwJS7GQKHEVnL2qdYNqoiOFYZ1XtfBFyzU3JixMlLFiostXaV39YMq0Xg
T7tMgd2rx2nbyfApkNgHM5VWO+GXFxX45yFuHy0JXhpON6edPTH7rhsfQXTHKssgKSn0b30UliCZ
SUZMLow8Zdc6PEs7iV692Wk2uTNjH8F0QdGTx7DogKxNkXdf5nFAGMh0Ab3h0RmKj1HSYschZUTF
/HpB1KZ02ETuWBuPY2g1YlNecR3r1MZ8jUA8xvmUDofc61I9kHZuECGo81xohVa0ABWyJr20Ja6b
fjDIjnRUp7nLOV7K/EdTVtZd1/XySuGy3c150W2nZOwO5khbDiR+fJvHSaPkSsM/qbEtCQn3it1U
uf2RHSIQi6ZhUc59xoRxDp483LEn7m6JPKO2yRmG5lDW4w64+MkP8Yyimjtg8aDRH0x3jWUCFGvC
tj/LQ3ObmH1ar+ZcTaduMf8vkhT+iZ3V/qu+eiu/un/5Rdr0P3791/8YeBmY/NxlPmX735c53civ
tEjpE+AV9Or4+d//619+1W+9gw8+znHhDXgYLdEpUbz/1jsQQYagCXCmb2tZEYum3/UOrmcGRJNh
tPy5n/q9rsnkpRQB7cZvbcUfWE8xE/g3vQPqmxCKtgW+JoRm9WvvoB3RpiTCdsNE9tvgD+YgyQm6
McRtpJo7hVGOhnk8Wxy3+EZ+pDMC6UZCmYiH/ZxWzxlQX1zlXkHHTgiN7c9URWk6UKlD1QdfmN73
w/yAYuoY93BTXOsghuw5ZVFR1eWT8NSX4/afSR6e/LRgyhtc+3YFhhdwZ0qdaZBOs/Ib+97tiwsm
bD88c/zOEbWoroWnNgzPzOkiuoe8XFt+y6VQZ59d3tjrKTK/CzdZi7wKVrE0roQAtWHPwibZFBli
5Vw5jcX8LDOdddYUZAg3BD9j8EO8yjJqfHWCbldPU879Em6jfrgSYX+dhTaUd8SSuVfC2gwRLFYD
dsyxH4C5eYxYwvxHyTyArNS3bnGeWx+mWjORsLvYR+Af8NQDdciD7Dn3iMixyvjOHq2bKu/fKgst
h/ABIbT+pRFnZ7qGLf/xjmzcjQKAEdfBfhEWb/UIrVrMl25LBWO21slpCCN2jKbd9VOrMTiMaEJL
ac30PB8XxuTbLon5NOBrhgmL+sD9xKN+bU+yBxGQtBs5pbd+Lx/wqcO56Nt52/mBtZ0M8DSNRQSu
iiyDsXNSX49De2PM4qVX4ObAISN/cXFdLeMG/JV9bwTBV2AY37NCADpZxnfPPFbGFSO+LKrv8p6N
2lR0J4K8u3WVoZsqovw6RA+zqmzzVA+OAkw3cbixBDBs6wc5SacA9dNIYW6E+ftgivrSrbpo3afW
UY3BVvDPwQweYuquOBnumHdma7cYDiFfEx0FJvx2RomvGuNmKIc3idJrkw/qi/wueQTVzuS58OVD
k6EMHZf/zd6ZLTmOXVn2i5B2MQOvJMHZSSedPr7AfMQ8Xswf1l/QH9YLqqjOTJUkq3yr6i4zySzT
QuERcifBc/bZe21E11Bn00WAWomEmvigUhaxwxN6cu1k2dSYhnWCovlAAEip3qfBtJYoevoZEveZ
f1CXYxjS4msqkvMsBgvFwVYyhgVHHKpzEOe1H12HaNZ1dr/saaEjA5ANW02Md3rHmtTb+J064bc3
o/F/OnYdCjFiZZ/E8bgk9nxsOfouS9X8yKdQPU6xLx9CM1U/tBp4CwSkkaaMeZbP56EeFz4ad/2d
zvM+q+kdg+/H6LhhypIWT/sgn5x9VlWP6PCXvMLEUcb9XhmNFxFlcpFlUIginFZRMp9SEpNMrnEn
ObcyUJTfTRF9JIN5M5sG+631kPrlOdXHT5gOTLrJcI35DO7b+tx13UMdZ0feBfUiZFYPeye8w81O
wCuw1LVQcqzxVr2dmm4lbC6iFo+MZHgZlXbb95RTNHRu4MUMMEDJn2Dsk0euY3Clff2qaRStDLDy
+DZEhOgoH+nK+eTDWRD6Zd/RqjroeDCjhvcWzzjVOClM4Q6mkdEM5TI1McHolrKSWE4XIfVtWH8w
0uutq+/DqttPeOFIotVoeMW0REf8jkzqoiS9Rj6BR73OrkM3PomIrLbMScUqHYnT2NFvciJ7Ymez
T0kSVOlqapTgc5q4z3Zkh1sA7qRRappnJioWzhOHKSPBIkMNTbBopiT1WmkWR6sLMw/0vgBjTPhu
AjpysJvsjqGpX1mV/xZZ8SXlS01CfAhbPpcVJTi9AvvT1A6D4rxz1t/WqfpmtP2HmgcE7Mhgwuwb
+2ptCER4LotHgo8DAyBUkpa+GJOcLLNKsmD/gQwelZCLcNbfrAl/Pg3yQM8hFnanLgzq+yDLYQ3r
1APahbPUqxTYWGRTh10FzV1Jq4Tb4twiDG+TKa3F1sEVviwLsescf8krOr6YRYglMCF3F+L9sgeE
5RD7RGui7jah16sDdxlHHd6aAuZLqJTYyLXsGBW9s8rQKFZ5VndHdiRzVea8ZIhO9KvIUPyd5lCN
gP7/lTTJVxIMYDSLZDlGHHE55MbkqxOvNEIuifFwicjHeKUJj5LTBUysglh11Qe32o0oEVbhNBnt
HALhmdWw3C/SgJdEhEliSdgcDH4+xAs76AGiaJX0Jr1yuAUkPO7S+C2Y1G8zwYnVufaHDr5kVU8W
187Ch27SZeKgUvqNKJ5e5Kg7HnUPUNotYu6Ksyl0uaNw8UCp59rxYcLXA1dJtY69YCBRITT7Mwqc
Hrunv7FEw0Oudm59BsJJdG+mg7xC2+YBif0YqiWFC6GzYSF7clO0e6PtznZAG4oe56u/7mn6z8nO
/3iK/NO8+F9qQMQJ/s8HxEP9Lgl5/gk++GtE5Pf9GhGd3wRmJERkHW+5Tpn2H0ZEV3N0ZkRY+yax
de44v8vLGhOlK4Ch6rblmny5f7e+m7/RQWuALMRuJNCk/yLa4x+MiCA9GDex0nNScudf/wN5MFaz
isGJKFfX99m9yhkd1XsxQgZTofFkSG+t0MdpFZqMjkvfMGFPYJx9CeOoWiv0UI2HQBfAsrSBMxQF
PVPoycK+VTq9DRmACVsFp8BqPz/rYpOqI+IlNDU/UqdgEAYpycyb+INN7ajYxbG3p6Mjx3Xl49yD
bXrK/XYD0mvt1t2mLMxt39hvaaY9yKBe+3hTI4HbKjcumRjXfD+Xjhlxyi/WZmM+95XzqUQTxM7x
qGWEcuNE0ElPGfeInkI6yrkKEy6q4ou9qHibU42+VIBfAdCpKWsaA2NbxWQoJ2Z8PsGnva9qTy0K
rFUW2aooko3qYyHlyH1OLHGhw7UGqZTC8Rs9VHrMyeFOi5zXts42do03KO2OeUn7Er2Vr0Ndb0PN
eUOX/zDDCbep0r72OCo2zAX5/Gy8j+uQpHma6asgLj+jKnjuO/eD9p1hkReIwSOOXHAmOh7voAO0
yzjfRVqzcVJ+Vo0IsjP9qcAj24Q6ID7xYK2UNIgFlFzF1E5cEpcHHODjZifSmFmnactdWHbtKs1C
mwm0zC917cxtj8PN6t29qzcfbqauizBHKGmpEaYTHfNGF304nXFXJET6jPmeao7l3cQWb+aFBy/s
JUQ+AdPUNbjf3HZBZSvkOV31+ppGcSOIdkAu6dZq/ZHLvP/dlZXgIGl7jIRfatbMUkunLbO8OCph
yeSoOagkfpWsCz4EZjjmtFRL5VHRMJaq5Ldha5Wc5cOoB5qZGAvDKnZDF3DFVBTChgJzm+bEhBDy
bcD4iqmo+UBmg+Sr5ZQ0KzwpJeuEQpooNZFVKanq5MlUgpujNIh0UQG52W/PwTDxsjWea2t04FuJ
c9N1H0nNvAkcgu903H+nY6VvU/R1DBHT29DkYjF0EA+kpGyDQIEvg3QnCAzOz3oun7rV7dxU6fiM
FhluEEe99aKfXwG8bk0R7kKVA6iBUFMoI9WJuhNzvyFxZ0D91XpbWdZhvieSIvifd3n1jCEdk0iR
bYVtvMoIi0YVVNldXU2fOoHmjcWhhReRXPsl3I0suFHz6JlFv5BGwjWAF30Q4FXRWUJ4C6baQjcQ
7SSNtLqkdas2PtSBvwOhiGvVmIAkkumpqOimD4wXDXqKFsSb0fxxq+RVHWLPDtpdWnKjJju4mNzx
3LrGTvjJVsvaHaPJ+AhBZa9p8HIGtd1parWLyJwsK+ZVXoTFKmkU4DkdkqNW8Uio1GUUZONqqqyR
0T3aMDQMCwwZSzOeh8O4eRSMUjRc4fTHIs6mk6eebKmyyomyFn6wlrb6kSqsvmZYiGUvK9Y0pPc5
ZruHXO2BzrxJp9/4WuPxFbaFneOAUw+0/kZemKQUi4EWok2TCobEWju62LgGQVLF9tDZgOGo7jWE
fcpzfuWW02NNnnCl1jA/CywHVX6cmANicg6czFLkq0B/ZmJbpZjZccqZVKAZ8d4F2QoUrPwwuuCp
aSjosjuWKFdU56FgUihpx+tYiut5O87G4Mun1o8IJZuzNe/QbSRJ1qYNKVp1F9nyp2LddsV4dvxo
L1gfyGhYfApYL6Okew5NtzLTS0e+L2B7D+L6S2Obn5AxI1GuNLb8pqGVQiZbVIZdiwqgT030oPJe
QZpHIiCNTmluIHP+EuwlWVNQMSPrhxxtoUBj4CQImBrVoSyQ9bPpzp55ngVbFqy0g5KL7zEePrRQ
UkfDYlX11mfQCpikJatT4W5zEiDI+fT44rcTNtYX7LFpHl4Vs8DlIbd60UOrrm8h/ql1BlYtAk/q
TNm1jwQa9JzOCkaGYlvwGaGO7q42YZ/GRrd3E968STW+GWX5oE9s2EAqzCDaCrOckEK6c9Z3JA66
asDYDwWwTrCNGyQhNZSE+rH1LfDutjwFiRbO6NF9UkVXqMR3iZbIrWZNJRy84sGa/WOBgvcoaKO9
S9ZWsSHMWHbzHDZ+fYwkKQylIOlr+JWyJXwWUZus1cvEmQ4o2jVc+dZfaGb+MsbzolBb3KXwVAFl
yT03mZLN2Bm8Eypi5josFrvlFFa2+i6XHDVJCJCu7ra6Sg+Fntg4cfz24ibUi4NWWfjOAF+1rd6B
gw1rQc3kFJiA+SN32ZNDwuWfkO3seKP3FC6z0wC2o/e83mgSERuUZbCq7WZclUF+wkOVswJBGCgR
jI8ksj4NSH2VbD7loDerHItj29unVlQvgP6eqiC9L0v10OVEacIeS3XSxftCn9RLZwzT0hDzFs3P
tFem50jrHGBGk7OGosf+Mu8gmGqTVDmip9u8G/ydGYqDMSXNXeYDweS9pDxPLVcAzR4eWzPZRiSg
QH/UO2eCOhjSEzKWHC+VLiJ6J58GlZxpMTlsjW3u4CuzKUiMLfns9h2+Qssc1hJRhXgQqqyeKu6r
34i4xNfWl5//M2z/TY2dnRf/Ythu068o+Aez9vzbfs3a2m8m3guN9lpBpZGlMzb/kmNV0gKGYdBa
ZIhZe/2DlQMN17EwhWqaTqSUien3Wdv6jUIkSBwa6D0hSIj+FSsHiuvfybGEf2yVkIAwEIxnysif
Z23IlqWwfZS8NPUpOAcX0eWzBW3TuBQW1vWTEcQfOLtiL3EcTBvuF2Uw9UbS0o0RmWeoGzLEEme+
T8Ma4nY1foU9LPwhm+nXJYtw8m1EGl9/kMF2NGffPCEJbSX6wIK8Gi37vIpoLASnVybmbtTGgqRP
eBFtskWfuvVVdKdTr+ZrZBYBB99XOdZekgOa4mAgKfhvz0duvVUFpsSxu4tyhyp7PCX4AW1vsJzv
QC2PghNur5qXRI3hTgw0ObCXmvLZbtuNohHnm+Y7ETvvOqmGjegd81nTiSboRbKDSrcbNIf4EgZL
zucr0gIIOmIz8Ks099I5wLu1s+1NV+BpLpmCIyt9L8njLRWDWskk2M79aU6ofKBgA8wIx7VaT3j8
xvRMCXq/creGpMBk6nZz+4kt0y+77e65Z5OS7dQEETX46mzjZqRzj72pMQf09aLXClZzeyTHJq5d
SWgxFoF16qryioOVM4/IX1qt3RkGkSXu380qrlJ6cO0W1OgwiJWTmpccqBXmzlTD7gvMFKvlgitj
vgS+zQCAbUxGeFvaXnnS0nHwRnqNFiPftmNhwD+OHL/fYJ04D1b244TUe4oEkRFCQXFnlSH2hnAt
3XLVusXJHOhyjYTiqTXX1ZJDOdHeYVzNbVGd495rFmGK2mb8KoM3XodwoWPzTuejit1mP2mq16Xs
f7j+WVbMjZuGL/YkZ+cFbe/+EM6P2OERIv1P4icnRyF+qguHbTGpvkda9fAJhE+yaY6GOXqDrR4h
pW4HGsvxEGY/uDpBcZgtyc9ROVtxrV+HyuIV0CjEQ6fuh1jMxq6sXZsPe+zvz63E8BFO6sGV/Bma
fkqVylxIqe1SohoL3XbPamQdM/zTBnSNZQXjim9f+E22uVhUkmCfOeG7ybp8lbv5iR32gTAEx9Mo
rl8DhStvqpWfDSXyiIWUcI33fB7y0k17bdnCQuUKSwigGluCncPJqsQ+yYt3lcZNIi7jo5azUNa5
8gP0KmJyE19QDziwJB90S+60Ngm32Lh+9FF9FqM0UVkbWIa+/e6Pxl7SpblW2bCp4uFi3wtodLHM
XwYaoRXC4lvJS2OZZzltttyri9HmjTjGlMsyG058aSxKI69d3dah/cbUVhIyHLThLnHrPfMpd8Ew
izcmXdPrtCFlWCcDrccNAOauqtyTLN2j03avWVABLKHnq7TKTZrM6DPCWQAtJRghmgfxlhPKqAZa
Z4Mev1klon3Yz6VbUiE8E2c8TcQA1JN6szGL4MaNGXYzEMxeUQKZ7lqCmI0s33je3OMgU9DicH3Z
Oq/Q2Bm/+in9cg3zvgtBEBJUoEXN3ykS6lZS+ofWjjxDQ6Ll6TLV9N6Yc613Ej0VI3F4ZeTIYdEU
O4Ms2ayqOiPcNEZeHPnEB/X+IVIZFIeymH3f2fSJdVc5lzq8lFTiZLHEbZhByWmcEh8Q8tqRy8ai
Qso7NnAHk1O81In/zp98Gwu5T2tUZOpL2Lilc8jg82MLEZ9V1YVYkshPVCWjBP9Sty4PJOdDWDZM
eo2ntt7zpGPV55qxSDufhHiigSqn1tYP8bykUvI3SNq3nvhVASFUoZHNgWiupfpD7IakxbMRO0ut
pkupmddgYgspMuO1Bs1iQOnHScHyprpHui3axWCl6rY1cm1VdnJHRgztUWjHyHL3PpllCqv3KlY0
SIDB1xCKbl3T9LZGLSFFgk+vCPL71KW1rXBbHizOgwVUDg6TerLHk10fukb9bjFV8AmAuUVySLEy
h+8roZGiiIp7LSr2XRpdy7hbp21VkPKG3+Q0arTRXGPbkkGzgI/YPqxypzk6gY9huC7itRrRg21I
9Fi7z76nkmanMKjuRZ1Vix6LNWN4mHsWBL+cTycm0gSkae8+hvBSwNzhM0jC4cnkMnPkGzQsRye6
VA6IgNDQNQg9TeiT4fLFJkaE205GmO5s8JiP6qRgBgukzG8jz/Oj1C1iw2jz8tZH6bCUjmbjFlGx
PqQOGYGBdie1kEcjtF9EG54DX78bZto2V3kY3zOBGw7BeQ74TnaxHYz6KkB1BxWJJGB+sDannePk
+16pn5Ouv/FZs1VSaN/IvvAH4dQ0MwncdZRPGabRk5KOz0rj77Vi2CvddMopDFwMM098EMmTmbgD
joPew+L0DmPVIMMDw9sER84P95iAJ6fQj7p6cOVpfI0UDrdS3nEPuvYF7D3w5grp/3zmnYtQOqe4
hIE+WTMadkwOA0J3DSadozI4i7jjhRC8qIDUQwUz4UxWH3ztxYXI6WqUNFIfTQ9rT2U1OHYNtlI1
uA+qVl1A0/sL4Yp17/I6ybTHvnWIMc1sd0NLD5wZv+RMfQd2Xay1mQQPOiaEoYDTIeqJC1LF/lO1
mLprJb4vm+aNRD+WpBksP1TmazSj5mOdu6tOEhAGPZZspJyJLsMePH3UuusSXH02c+t5yGC2mln2
PVB7f6bb14m99cHdo6K8QK7chy0Y/IGyVGusv0g06otay56mugQP76P/O+z1SncfWhN4d40wBNRQ
8OhcHOx0JnQA4A8A8TsA+dW6/+JTChM+qH5oHaRn1PJDIjJapb9rAZzaaX+t1A8Kq4tlWJKGM+hL
za2Z8E0hQMopx5wbAnqqAjT+BQaZlyb5GUvmYyPFO0d/ascr8zC4yR2JrW5JK9xOm3sIAji2RINe
BgoKCBYiYRG1wlZ8rRT1U+C5s1P/hQjqfTkXHJiJv61Lsjnl3H3gdBubLoSEE7QPaJLrvYPoS18C
DGPoiDQo0FtI5bvTnIxEnKMQMBhr0EmjdaGnfSFp/B2pVB4PHJPduZ8hnj4rAgFY5JxHnQaHsJWn
mkcUtshVbDiUi+hE1tAl6jJ7sNrx2M5dEAOlEGIwPIHxL5LlC8+l75rbuWmNLPFOOPeR0yzRmwLP
kVgrffVDdANU19xCEasaqClSMh0nrgOd1ZgcUzvbZuTBnuy5yCKvu1NbkrUf/1Zywf8lUncT+3cA
qnUqEncpjMFHf+BsxrchAMhnbrROJ6+onFJXabwqQYVFccVHijZ8c8qpuNKFE2z+v98Cf4+R/0ub
///+X9/Jfy5G/rvH3wCvbuDxx6qiw3CcAee/FkODmkcYkDDXgawzXLAy/n6EAbGvYuwhA4CNx2DP
/PcjDJkBLi+cXyxX54LDUecv+HRQVf9uMYSvzm46g47I9vChMS+OfzzCuGZTh0LOdYHWcUziXVR/
FsVsVXCWtMazFdj2Wi+0bWYqi9DGDRuDKhwtHF90HVynNF6qVK8aUfeMd+KUpYi5IZBpo6Sjx+x2
gSVQTAyqSQo+dVCd3/K890HWwkoZy3pPsXi7DHR7wt2jz6oqR9ZzE+hAwMERQkVoYup8IoJYoyco
6KAU1cvJnXb0FQSWvExQxgEeg/3pjmGc7gitPTdm9+pO3cyK2KSdQVE9iUpIsMG8ExCGnZL8vdGu
VVt4YsbGul3zAP75o5iBsmHQ3EPLX02SFYxTCzbKcw0pIgmtXd4DZZwgK5F26CzVoyxkVVNVQM5J
IS/d7RrV3aB5c4oAZmvMVFttyL+nlrbzYdw1fbKfPTQTqdC+L9el9AExN9EMNSoPaTq8ya47piZp
dQscNg/x5lpCbn8VlXmF7447lye7xy6kXbqIbnQiWk+DklcQ6qkZ4YbfekJL943dvRPpP/ldH8Cq
a1Z6Ie6aqnM3OX7tRcoqvVZ9xLW4OehTxC0H/BQ+LEMX3SqNGBLVIl0XEmuRFELbw84+VnWq70X7
CliuWYya+to7j2nDPcV57Sx5l3Av8OWrQhDPnLGGSn2OOhl7sCo9Rei7KFGzZQt9Xeuqg1K3T5ov
7gabB+lsborHUx/rD5Gu7bJS2wUKAYJYAc4+SPLNcpu4AT/5WD5Q0fuMW+hicTdo4Aep8c8ITYij
DbN8AGDIhTRENOWIWnphSQ9pYS4pOcRohFtRGVh6zRlXVPeluuhRo+WMMopwzbpK3VOwnHDqD1YG
mI4Y+pE6Uk2BG8aalF0tXSDQe193V213kA4/h+Gr6v2HrqpXtZLcN+Y+DN+Is7IIIdnCXkpgMDEI
nRyYTCNxPeiSGwVWk1Sncwm7CSvAbpxhThVUp842lylHGdUfXAzWpHftIF0rMUogbGKwIOpdljjB
wwQxakoGXBnlRoYfaRE84hx46xSH3iQ44MwJRzSHJZcgb4JEZUCkCim+XzQGa0nic5UHTl1946Dg
rmhdW6N6Mqr2qYBwxW3sCGbyGjrjxWrzrQUJS4eIlUPG0iFkFXzq5RCzQshZVWQhjFN7EBPVaZpX
F8JWb07HbkZuKXOjqQaFK7Tte6XraJw6+wEf85nvci8JGiCU6dj8jYo9E0F7nXAbHTaEQ6bVBPxr
Ut40UGBwwC81aLCId3wNKoxXtVfz8w/GT05WyxCgWDA3d86EsTZjHeQTljMgZJVZjS2zCOCjvkkC
d1X7wtPFtIJ37dXWgxprV1LKh2qIHokic69yWw+n+EKxnjmmL7jZLjWAaxrOtBwhQk2H76bLPlOC
nwuEAOL6V7+h4VS+mcz7w3QDffrRAzhK694bRpA2SoH8a6ZLYz7n1bF5U+36vuqgWpcElGJminNF
Q5qqa8BzGIaKz4E+blItx1Cmm1RZ96gzgvQC3PhFLY++6uE1P9i+emdVREy4/gbWrhhST9Ee/von
/D+2S/y3BcX8mznC+ZdwwVubtJn8j67b+Xf9knn130wTsBysZTwLsz3i/36aa78Rl5uttZo+G3P1
P7hu7d90ClEAEIIFwD8x5+z+8GnuULAy2y1sw0E6/iuf5oaYoS//1qoye4RtAbyZ14vgbwihcFac
//xpziFU783AnlaKBQhQcSs6g2Zu7OzAeMtVZ6QqFpTzCF520nl+zLzZjCg4wD5OlKKNDj1haC+f
+bRIA4gTM7NWY0tJZoqtNfNsg4ZqB19EPTB41I+c7t9NMJClNTLDWdvZNK2tmY8bAcqVMzF3MPN4
3c8U3Vj1zTX33PHqYHXfWTan6QrsbgJ+l2shZJkGOilg3kCIoFxNceLfAgerF1En/IHDSMExH2En
dXTEQfYtPtk8QWpuCidb+Ul7HuGxQZYNV9rcjQ5KNlgpFLrGKaCvtsnUnyY0+psrwmJtJH3OZ4gT
bZpBsddGkDl7hcXHowihXCoO62OP3IU6xKIWmS3pnNAqz/1EOKIAYYqjDawC93sryp7b2IHvTuQD
ylWfO82W3Ae1G2N7PzYVvqpAntEdz7ClkwWIE9ZiAPLByrcglrRlepDQgs92bvcnV5Fi7QejsSz7
io14Ep9koFTEXgAkcZ1b+7aK/JvgR7jt6va5hckAa9oy23VQjN0y6OsjdhkT+xkAmjbSVpPpz6pZ
/lhZsEZ0e9ybsW0skSC3I1QNkkbVInbFm1GbNw0bsF/KjSkhx4NfAFqmxPpC8sOoA/1GY4sX+1wc
U9d86UOMZoOrbHzpHhDqWk9NgC24QfdS827wxJB+ykAz4O5GL13XrBv2P8ctq6VRjifDotujl/3c
yoYawcXWa4fGJ6yierpkXoxMNdlbPCFXPZWkXt3Va9Okqpk/6VgGY7PNbOpkAN5TveH68P4c6LnV
WB38Ub41rbOeJnRRxSZN2LoTPY9MgItJ6x4M4XMXrwnI08O7gI/BrjtFhzFEVmw1VLBkAOZP3PRj
0JITV1pcoJ0ut7Sd9PTHOemdxlS+KTm/HfSBq4BrUR2JYSLzrIS3Xq4FchEY9mrCJE1ENl1aXXxL
nP5gWtLd9GPwbZC2PIWpdU3L7EfY9GuqOGSSpD7IVt/745z9akI8vGRz9E6hxzEfU0hi+t0IVZZX
5a1zDK+TFRm76R0k317zAbdMpboue+e5rwVsz6ysXic7kYeWnw13/CYl7QjUWwFnATzUupi1+T5Q
U8kBGll4yqZnB51Y851g22VzU0r4MaEky5ScYepE2CoQmX0NC6eldBSHtlysEaKRl/YFwrTutu3C
nLXqWlGnXeWMeOxzMAsx0KdwuKqGdnFHvb+0bpd6RJbOulLe1HaWc5wfTIarHGyA3xfn0ucHkzFP
QII/6pm5T5TqGxj8tk+cDUUVOxl130XPb6CJqJKceCegHzzeHqYAznNVA/FuJvUO8/PNSMjiziED
vWzXk2P99H69F3Z1N/mcmHkT3mImkgCnjZoGzxIz+UIJDUog6h8X285SD/UZNwjByE2JyabBNHqJ
qg1raI/FV9RD/KC5ZMFh+En4PlBnM9ZPIvDzVWuLD9hQ/BSVCpNrYwHvsZoSyQ5puU/aSzZqGO9b
ODkTbhoX0b0OICeru85XmGRmC3ibcx2JRtS4AcPXmCfL0umvadAAbnG/bWkBBR3IHTY5nvfpMjTF
Nc2UU9tVrFO4LLCUufUm12xm6/Cozi1tim2RL8tVc5Ekzhv96zs1UJ55ufVw/ZS3IvX3fLwdEArv
4FydZI+uobf+C+NVtWoKdyNFf6/SB7/kInZqcVnZLXWx0WjXIPKIblFX5bvqtzMQ0PQnSs4N98VP
MtgMY/VgSOXsDi3OiBkVDhodxAfPGx2Qd1Da1xGqeDXjxcN+YIS16+9Mgh43M8QaAY285e6AjQdA
eTmjypmQsls/48vT+eZU07a69E1nBff3oQ4ciuBF/zo57s6eEei8IWCKRe6+VnNnOdSA0qcZmU6u
olu4xGApoRdHPeyC3V8fp/7f9KhysP7nZ/Pr9/Sd5N//cZ6a79y/5ilGI9tx0B80YQnTmOWHX+oI
vyJ0S4MjrJJy+tPZ3PoNAyozE+gBgkXYV/84TxE5MsHi4WCdyc3aX5mnzL+1y/1pnuIwz/Gdlju+
FAgE/uJ/VEdcC4oRTcXK6q1K6W9wrYNUK88qEA9AvELrWNh2scwr+hByiu37y5UPmd5zI7HF188N
845LTtlsyXhkYploLSvaYgRNlfjTXfw6HXmGJk8d1IOr9lPd1fdYUBnP3jhkL4s9ADLw7F/A8itr
Xai7hJOtEa65iZv6Tj61tFSP2GSsRYd1tiHbwK60MJVN+55AiIsUc11bX0aMXkiLzHq+F5FJtBby
WkVbkh1Hd63eBmvnoNZ8V5f6YfwOAXyVa8Vf0flYkjwdLsV3+qAM9y1e3P4+If/KXlSuU+vMZpno
x8hYh1RIKsEjiY/kkG2JerKYleWuKbdc7F2NvMMqrPhnGlVfMtww5h7XIw167I6ButZPcqUMXp5h
tT3wns+NdRZ4JtDibBPZO8c++/7ObwDi7vSLHW9JVr4oGaPGlmqGiMqnIv0q8Ol0azoz3yfWzvjT
VZZdf4qmSxaSVfffcIy2Jn+PJclazb1n4167dreyhwfcCzE3oQwCrWovODfU1hvhgKbcx6ZDqOgt
4eQbYWiN9W01vZv2TzPvvC6PI9V9McJN0W5rbFPut1DJHmPtvIXVR9gdSiX+VEAliFF4SewR1Z5c
g/QbxswS34WFjYACW33gvnGV+qXzH62fSe4qhvNoeHdfwi+n3Zr0pfR8aZPqBj3fmB6NrPmkbuUt
Qy8283swVetSfYm5B3b5T22uu+BlTB7j6l5dqtC7O+rLC06p46KOdmDvrQq7V3RPl7OJ+XQTqpfK
aGkmN1e2DZr2XrXipcPLi8doTTavdReqd0JDw8vokYd7/VFeL9PEp+ZS5Vzb7ex7V19cIDXUj/qj
/lQBrQsJIiyomxiXHePGgkxyeVX27uu2/aictXbNGcs/dMQ/PLKZhxpFhrkql1Bv9AWAkSMM2FV5
F3rJQ7ns7vyzKJic72bd5h3ekb5vmI/CVXp1HW8KEDCWmLcvXMLrS/NWo8DDgcB5vMqbqxgfOvVu
KmE2ek17dTO6FheiXjGxDcVSYrYw7+m612lNwhpWLeo9FbJLXBRn9469wapW2VHfwC1ZQNnWVvxR
CWVSxRrbHvwlXv5v4G9ZEPylfc+kbSz3Q+aJh4T3wb25Nz5glYuFdNap7cltvHFx01GM6sHtcipv
tO6EtY+tJcFChJv4MYF1XoJVWRIMM89v1Tu31h+K3p2LsYFX+Zl9WKd5NnnlQG/Ey3breNlHixMz
PzeraR3RQ/MJQAiLx+Oh3cOVWCj5Mt9nc/swpuXV7GLb9F/hNnpQdsyD0xNvSK/cY5QMF7AWx9Wr
2V4dOqR7Oo1p8qM8kmcIfj59aVPCYV5npz7DrI0DnOiMmv60SBQlgusLAvOieSNUrrWHOtqWKZ02
SwsX0VrPtrl81Pxo2YmnMvyZEo9A9LEwF7myCWnRjDz7jX4MbpZKfSThzRRYqng0dzjoOHB9GV8w
PmVAcOU1dY7BQwTUm7GCnvCPYG3ehrUBvqU4G2AOkTijezU6UJmtRIT1x00lFtUHtjn+0xfbvN/h
I4wkoyXe7DCjYLtafBVeiYbFA1iForipOHzO7OJr2nu2uiKRSJIUwBxXGFQzUN/InG55xC1p1St3
2o/OrR73xkExVva7XqzDAJEXb/utj289j/Wof2qf42+H2VzZOu2JkkU7XtmvCN3CX+HjVYNt1t5L
rpDJLdLvwRDcazw+aa2vW+9/phBuJDRyERz551PIMfou3+N/ZN7jt/2aQtTfsJmauqtrHGIIKyOb
/JpCxG8Adm0GDYsE06zr/PFGY1Ec4bpEa34VQfxB1TFodSCywZjC6k285i/caNTZVfgnVQd3vGlq
xvyHIeqo+t9lqXUzs2Xs/h/2ziQ5diTdzhsSyhyAo5tGBBAdGezbCYy85EXfOvqZ1qBlaA8alfal
D6lUZlbp1auXMtNAT2+SZpn3JskIItz/5pzvZN2uB6ZQA3YX5DKXzRTUa1AzM8ZdS1ftFGAwJchy
fIMo9T7D4SviBrLHEEM/s/YCKAvTG3lb0Y3IRBCBJZDNDnqXH5lj76IKYBIIy4Mk+J1JDLE2o4GY
S4fXglVjzZf21qTpfNECY+HEqLJmC+ob2YuKjnoPzJaBai4RAxNVjZMokM78A+mcvnGd+dwTao0/
49VZxzzgeDYVwZutbF3YSkXJRKFDJoJeiMnQVpGNTeDiFnqF70UEVqyh2fUan+2wEG6J88zm5cvk
svegxs2kHy4WQVa9Q2IhPh+AMV/ukvPaYWu2rLDdHuYL0Pq2msj2krw8F1u20F1woGjCNgSWB3JM
fnbcEGU73WUjF5D7FElZPdQtqrdOOIE+2T9xIdMl5U+4jmwZPy7uWWInt9g+i2R6H0V3p0/q3mxl
CTuiv0m6xFd6upctOEXXdk9JyRnijgl0yhIWuriU+ptVz57veuUH6wC/IiseWiysTY5bDL7q4hYT
6+8Tq+LWvTbVD7kihp4j49LWD3Pf+yULJTnLw7o3Y4l+ryrwGCY0R0Fsd0+jGs4kATIDlGOQs+OP
hgbh5aM3Nr5VwzzNbw28FEbLhIfq0ZXxEZRKAdTebAZkRGgbe1N7K5xjs3p+w/shpNh6ZsS00WGu
iiE6hHV2IWv0tU5VgP15j3xm04F3XIQN0DOoWSDqo+CRbLc4udEIsS9py08ptPu2sVg2uWlCDG/Y
3SyJTi1ZNGr7H0ffL0ffiiv/146+4vNjSf6FBoz/7dejz8IjuB4raJPtX2fTv62nTROMrYtv0DEE
s+Xfjz6H+G80brYNvo7W6I8NmPMXw2DTzZn5q3D5zxx9v0zN/+boYz1tCLnC7vhuBofp3zZgJuCq
fmlje8c2zH5KJvzv2ig4UTzAtLWmnYuKUhjdNcDbJEBefBJaBXCqa7yNFsYpTO1aPTYhLp2pwUlR
m8Or6DK0GJCRNq3J5ieb1Y8y60+iGckJTVyarCa97t3xtZo9RqGaeoyz5qILFUSWSVoFCVFmk76H
k0ghlnYEPETmTT9ntDqOS8Kbmg6m0yufZJ3+o5Pwziq3exE1tb3dufU2X+SafiuOsTIeYAJ91c7K
cS0wMHqMocyKTKzpzh7AntUi0COKci3RbyVTwaxwkAPXFeYccN0xlhJ0JOs2bTt5pP+UpfZiWIoB
EXPfsTAxuC2g9UbvStPMFNc4JTN55I81rU+e2pJsNZicluvQwnJ2TtqbzuGPINC8jIKsF3vaJbX+
DcX43Od4xfXys03qvS4fa/wbOO1u4sE8MRt89iw0ky0QKVNjN5XqoiHDobr3yijIsxr5kUXYmyGC
NtF0PxrHU2Uv47lf97YKbeh+EHlLmGtHDK+tMr9yqCSV/VDxozWKCDwSgLfNoDHfdqr7cEh2TNof
+7H6aD1xPQ8UwRaELGLie3Rc7ph9duz1zVRBQAKiOni8pu5i1iUMZnmDa5bFpLzTgevCIPUb3b5M
Qjyi2rlKAJnzdKmtPk5X7ihvQ2c6Zr31XWbmV+RQMmYl8oYBDWwImp+Yi/rc4T2MZEdpB2XDNNvD
7C4vDi2X4YgL0+YjDV+AqX3nWsBSITOh490JsFcIyox7tDxsfrtRoULEe5/NzZtDvoVbaN/xHH+1
aBdKyDsMHugfZq6N2s2Oetrv83AA5y7m9shbTWx7Kr9MMOROHQVxXd4Qj/mFggMPqgEXCyoAuAVQ
wuAR6I9LjaC7bhkflsLQjrUzHKoBL2gqXsLBAKmh7lnFrkOPbIuAqA0iqZ7MOX2UOp8xFkWDGxDU
XvtYGbPDYuMLb7DruyG7TE2DkAKTIsEbj8vWcTG6G01gp+WPuplJIuk+82g6Mdn/tq3VWeDVe1ap
b/Ok8N6p45DE5S4RuQlvofysW8RRm64nUgjxyLLe54iBY5GjnkgAqqZpExCNp2GAQmQ4FSQGlRmq
3ZkeQcXzfQzlIxz10FczQmxpMPTtjfGu5GOGcRiRi57bCoSwqZe7rum1E7cdSSUxSxFOEgKTVmV8
Lj7GDuGrqCGQRdEIhjzKzH3UReTsTLEXsGqQAYugvWk43cYY50ud1296iRY60+jKreskdrAOutoG
RcS0pXakSwASnXiY+FeC+TZDgMbV2Q5BlKUnO6Oz1PAabpWKOx+0OLlSUjtWVr3XWCiemR8sh3Zm
vDRX0M76eMqOVddaW3OZGVIpZP4LzqqlxyRKBEw7D/f1mhBe2um3YRs+wBALyxCQGa9o+GrxG7xm
aN0Y4+aBhbc1KQ5CHR3kwkk6ykuVLsdWG65Lqe7RJz8Ky7idFE/ggF8T7LPPQ8v4pvm2G07kJAnf
izBnHq6iV9XpagMy0SOtKzlnWumTUcFMAhUniTPk15h2d1pg4tjGfG9G4CKHlYuTZ3dl2UiAnwUh
EZJ2qbjMnXGFJ/KNA4bXY5+lrRUbvUsPkOgE1kkZVNVySO0Oj58B10DDpTX68Ob2IR5Pr6w+pzY+
unFyyi0Jnxx6KCmXsM0W784kOGKJ0UXsuj7zkbQSRFl5RokEEuPf3qvXfKG89IJEyeIricUUeHZN
pdcPNvIcnKnYxp5aMGC36NT7HabqH+Cjm41ni+o1ovA6znbG8cOKldl24ez6sBe7buC9yFvkVUus
sahra6KlwykTz9Viw3fR3YF1RDT2zCwihJN1EW5DHRVykbfaVjO8fK8kmKS6hzyDxBCfQnEys3wO
6oXGsx6nu3Iexrs87V5ahVapFb7M1gKz3WodcaeTSdZaw6I0mrYWgew8gPV8JY3oDbG8www9u21G
VCysSKHXZ4Fm4+G2bPveMK2dW9Hc95V9xyoVZD3u1CpaDamQ3avOeu6jurnL9WbfacphesJNXiCx
vrEUyey1a5XbaDHR+XSawAxvgzbVnU8849eyGMVBthpLT7s0TrUyp0Na1V95P8H0mJV5BdCCaCDH
mu4svZ9YYa5CHURUsETbeY2Pixpf0zq1Jy5S+bZufxm9xnjMqU91YmYoYMcbDSiLrqtDMQyBpixf
2Hhuo7Fk/ZGOm9wStm+5g7sxVXw1GBqD0gJPR2T2+Taq8qPK4IsOrvVDyLrHHexYaLBpBhrFMaG8
T6HXH+vWaBImKVBhfdTAAPjYyG32XBFOQzRFygtv3G66Lk3cWSMoRoyZ2E69Zz2NL3E/0SgRTsQZ
hEKsd1a+dgtN1ZOwosUe8dnB0uC2WQvSX8vq3xezKO4s5bw4EUItyrrYj6cO+2WCAF4bCWUZqaRO
LuLCbYh16vD/faX9mzZ0VVP842L74YMSCCpHl/xzBPT6lX6tv+Vf1skCEwTp2pZjGMT8/KH+piT3
pOusAd/rlON/yUPZjcgVDb0OA7AN/jGeEkvh6vXDCeBQt7lsNP7E6MFcJx9/V3+jcTFYfrCJYTTi
0QT8cQEyzlasF2VuYSnGaleF1S0H3a01tFcscO+9iINd9Rq9YJQ8ITx+A677AvR22ua9e8hM6w6m
MZXcdOKsYB4cAhqLOR6S5XUuR8jlRcE1N+Q3sUSj4ETyO3cXEPsT/bhdP8cE2oVdfe3wN2ZAqLAl
12GzOwFj485bw7lW6lHfYBjnQwqsIi+1o9cjr6TbL2GzQnrbmjoVFQlqGhg4QBAUSstt1y93cZtd
9SgrC9oBZVZ3yeT5XuOdR4/+lWTaIZSHjALNItYMozCTzyGww+wdLvx0gNCxa4fqgdsDMSpUA9xQ
r7WLlXCqAFwW1nzbGguHtGswc18N35nQYTpVg3zJUlJKkOJxy9q62lN2nN2xY+TqPFVzw7mjN2T6
IJ8HTXLUwuxWqfwqHNkD1bI4NvFS+cYyf0Tt6oj0ntleXInuWWgTgrCdOzFGWLAc6H3xYXMQ1CPg
p9JD/s7xYK/nhL2eGNpkHQqOEHM9SxzXOpGSFiy404kYIhJNZxOzFqPluV6PH7QzaDc5keBgvkB4
3bfkRvEoPMWqYwmWFdcCG31YRv6gQyczW4Y38VvL/qVAh4gGGmklyjeGr92UnooRhU5+NXQYRrua
5U72Hs3Ox9RBofDsdQNkguokYx5EEz6zkEcGuzwQZ1bdNtI3XFYVZC4mKaN1I9il73oOYaUTmyn1
4hiv5/NUMqturdelY7+1mNq5i5S7qQAQNUUXAKtzFY/CuG6QxvmlZLa0pKxcGrV3tJuoXSVKLZfP
iJ+UnUWzcicqLDiYRiIHklcz30g6yLCfCc6zrlm4bd2h6LdE1ROnN4INX0cZvb2tSnkSkEwNMXxO
uRnQvQJcdRdn2/b18yTIvfEAHfTRs61eOrvakzjy5kHuqmrEDRWoDrqJs9KcL01vDmlJyjjDlUNk
qAeyuHitOlGY5HpuuqFTp6bAV6Bwiebh9dKZbzhmugdDhICvsNyiyja8a0PMkR/ODMFHaq94gr5d
NX7vfWayZcvFTnJBaoNXM8mCxWp2k+Hnebqr0DYNTsg1LXdGaPneNOG98TYjUVvSY7kwONe5qzDd
nBypgjp+1qDoSgewWDLgGHQrmrM7uOCIEnC2MUm0CQMtiiucwet7Eaz0n0iUOwsNTpNlO1keh+FF
X5kSrKf6tCOf5kVWw7ktelxqOqxmEiFbuap5/SSzUQg7d65xyj0WCnRig+MFfblbquuWBi2HrWNC
5eiN+K4My7PevueQxLDcg9y989hxePwI69YnqjEGhwEapiDhTer4nM5xeKVKvC6+XuTa05+/M/+d
qS1/uzNXreM/vjOv/vpfh7/+5/LfcGOuX+fXGxMDxDr158ZE7Qj3lJ38rzem/ReBeBDpo2tIuUoH
fr8xkQyQWALh0tHJ5EUh+UfJANDTdQZmrTkLpmP9mRtTGn9/Y66hCVzBkpk9egFhsDH4442Zu1VX
LWgid1E9BvZ8Kt1xqyuYQ3ySZdzuYx5plNgQ63cTTrQaGn056ZccjgOLqjUUgECzWvzUi4rPK90I
zmSYdiv5Ll4ZeGnWtrfjysVzIUTYG61rDwyhcFwv4Y/UZPIMLQREHE+yTrIwyiSWz9VK2GPidawH
/YqPJN4C1oLLSuKj+dCIR2o0johK3FoyvopG5Wzawdu03mcMw2+ptKDJlO/NV7qieeDulSWeNU3c
aVb4ELG/Hlo/h0nfAhp0OrknuXRbxD2y7+YQxaMDHSdyVyzJS1FXu4WBVKw7GKDrPbxWWJvVd8/G
GDIe7S4uTBgo1+Gg4xmBQxiZ8DIi52gwnoFyg+V6iaJHT88/Y8O+FXNDHFvKUi+VgEkTFJmV4aXQ
YYAMrMjD7pefie+WrThE3Ljz0SNnOVvc25oQXSsNAxCAu6G17g3aw1pyCgNVnKrq6HKUG0n9FY36
u8jBiLsZOlNUqBfRAkvAlTW+FDnhEA5qjayiSFBBKgF1i9shBX+t/0zQuYsRErowHquV7WgjE2VY
APYABkMC+nHIS9asrXW7lLx92fg2S4juLscVt+7Qm5csbo+WIpnXBFtJu8sk1HvRs5siAsoze/Ur
jsJ2CzYG3XtH31iBEiMlGaCUXj9L6YfhyWwemkUcdDrsaYVV5kN9KMg9pm0POq85tkb6mqxsS7e4
m5MGkSjEyzI0782EZUKFPupptB69Vr2DZWHdExXXHrwsRBawoAFoorGDnJIGdfJDpTVgmAFmK3qU
FbqpZng86NXRqST8TC7ZjWvfuhtN86Uip0ZLB3bJjC1q1KQKhGcrpgcEYjdDO+NHmu5LfPHZMvEs
1dppoiErgIAaAjcwUFAlyQECEgqe7bgCIhzwViRhvqRptDdq+7qHKJqY9KwC05KTryUqZH+7O9CN
H0gkQ08zshiefF1Mp6SnoRqWMwMdiDsTRdC1R7eOjD+cZj/G8LiM2XjQVq5ppSfFrl1zD/qaZDxl
hu/6MDzi8ty1eHiHFMRB3wjt1kyJwSA2wW2tQ8KwryRsWhl7y/goy/ropBfSlIIZ5UnBxUh0Hy/v
3o54aqbTmKqbEt2xmmhSW5MZ3HONyTl35oMNeRNRHr4T3Cas/VFik9O4LzhYCsf7maDGJAUBTUio
y+tyTuAEvxNQcZmzN+0Xm66GQBj1gIRAQcOKJ3n6XhBuKDZ9tk4yk8iejPpJdt7jNOaHTHuH8b6B
1keeLQ5vZrX7YiApUVzFC4lGo3hQefbTQ6a9EYbG2K9TT5ZRQ5TF83MFQwpOaEVS5nNPlEWf1NfS
0G6ZU9y3ibOT1voiCL0g+eLZrpn09Yt4JOCK97FzrjyZe/7oUNi06DaG6Kfu9N1BLvMD832s3G3/
mrXWtMXAA49NUeqQCA5OUPOL9CNVE1w8Nlr4mC7p0P2IE8mczDyPa3aHNVdfqeMVEWQNhJkVgvfC
QGGd6LLadCQ5nKpUP5X5sjXawe/FYG2zNYIsdg3C1zFuxWbibCalPwmLb54zeg8L+8uzpy8jt/3Z
Cz+RCb8BH3gfSYnqlvVMmzwAdlqq/C5GVkKAAwTcKLsh+/NYdPiLR6ZC1HDz3WjEHdLO1OQf7TEf
SNZpyC2BOh2is1mBTnhoGQ9ua6w5eLqZOYImA9mxMXLUSPbYX3gEz27mkNggjA8RVu+jI49JnR1V
6OKp4xLCqozQ3QVD1dFkOVqXPfTZVFJzFyRlLHrQJWN0sCf+ZqSN13OVv40jA8Uwv6unRdvJOfm/
Q3z/fzJFSv6r5dD9X//LL4rJfz5AWL/Or+WQ8xemBkgDUBzoOuYPxgS/lUP8iU7bLqGASs/+gyPF
/gtUIVfYDooHx8Fg+jflEFUSLb9j6waDhz/lSLGt/70cMiVrDs8QwkRisTJI/1gOadCke9I3QsLe
Ij4qTUrzH715K2wuW7Fzi5G/VMQkQHS8T5IOi0RKmku9PMWOAaeH/BDdu59WlB2Nqm/l7oFpyX4i
TjGYbGMzQL+LVgxetLiJn6GoqdAelpDyDNn75L/vBSl4HlM9tzBOk5UC0QGDQSUGbk+DL70RAxTB
FcXXZeqmhc3HOeg3YIijwmLVjU3+QHzLnVyJflmT8imA8RfDtJlX6l8ilK8rW9/mLgIIFmDNHpzJ
MQUUKNLBfIlXfmCYKlgx45HkSEYeo3FKVtagzkAaIvohVPZxBkbIwTxzoNQfLpjCesJECbaQhE1m
K+m+h/DXQjVceaYVlMOVMoBgbLkXvwAQI+dz6SQLjOgsV0Rizltj1sO+Ny2/08Uhg6WYRcV+TZyr
Kt3Po+LOg7lIBkVgrRDGuibIA8gkflZmGdeANnJ48fJtEHV8IIuleWkTqZPEPLETGSE9YoSr+JUA
f1wpkDKmWmS5gqJzJUSCihyndtiOqQGsyUVlij2Cvm4Zp42pEQWlCdjECwpsvHQwKFUNqcZNEAaE
ucM4OZrvySXZx8t3LfvPOtd+WDMjk6Stef8HmkkzjWHDJPsShQVEuuQq1ZfuCiMPiX5W+d7XYYP0
sIVuqPJj0VRPOpuzbVrDdbcRq/cshRG6ivcubkvMe45f2dO4acWyn83+G0YCBYF2xp9MJhlhZyke
grp95uNy08baQ545H4VGyKohsycabBwU1XQBkU1kFUKUzaiwLwO+O07le6lsbqWeIteFHpoJhv6L
4QB67s+o5B/SJc78pU9enMzYuwMpqEbIlD00f+RTqYGiig95JBCa4AVUOhDqQgvve5AlB1jTXE+u
+9GNkP9lOT66c/VYVzxIYe36nTR+DkJcD7aGujN3zp7oLo1deidb7wIkS9UVJgXUJwT7FnJ5GAgu
BFKLtBbEJEW8G37P6wgepKkDBJ/troaTI1ApPPPF0zVfCd7DsirZpkA8YrjUfTZLdRcO2mnQsjIo
i+TZ6YufNdlYbhHeSOW+lB5lmDS7L6c03rOi+8l4497uhn2shpu4DwuufwetdBjWEMo9m3V8eMhI
wZJttm+s+cUjX2zXdLD8YgknOFT6T+KRGGw7Js/mkO7mqL7NKu1su7QwpVtfQgfr65IXF0SI33ZN
0aus/tsbTPjAIKGwZWDJAqy6i6mpy5H8oUXdRMly6bB2tHU+PZStuKlld4nt8cHL9T0BzQBTI/2q
WrR6B6QfsBg0J8etiytaVsKSbAsKhV6/6gMgsbBlc+GaHW6wlU0uOCDG5uAIpnl60sdw0cbzooU+
27PAlfOPJAUOlhc+Vcf1wpIbkqwPFmLHKQMkrExrsn7TG1w6+zg3b4yZjovvXGyrMMVyQsKC6gZq
QRN+E1QtLIcbfoW+3TA4NEaMT3a8BPMyJheblTManR54isbuUx/oTmxqN+EM50yfnI29MEghL6On
nLOg9KAHAgomt6pFtNNLc75Jps7dZUBZzNaKfc3Rz2UlvmKxwjLcPt4Xosh9HrNun0mP0qj7Lhqs
WCVBaNu8RXpa5A7CtZCs57HRAOaayXXlzsuNZ2cDefZYvYTTscZD2+1A9dBgmm6gzDFQja2gspC2
dWN4KNLxc2ZZvGua6FRW2lXXtvnPTJMIj4oRfW6nvDuSYF0Q7nRdiCTGwkZDcphV9RPQQsEs2XCj
K6it3cUAFLuA19xp+qrbVpwPoyK7znpak5sMWSTXGptq1lzYT2JjZzUV5To12USRymltTYb35MVL
lnwkbAxg0BsJHb51X5buwxhS0tf0w5NhnefC9gLweD/U6hgTpbXn6H6G7HZbqeTDnlnY5MK7jpYM
ommWPtfsODd1a7J9Zsh71ZnhK1KSb/KQgnAaUPJT9TqsKDX07hIZyLpKNNbZdMYJBpl5hnPMRved
BG2SNRYM6GNlA/Xrx08rIY++XVPD4hLqWJy7L2RrEZxGzOETMznO/cQ6R+DGMPBTCnKcXutrrMQo
BkZzA1EThgkPLluWn+0aQ9HEOLKXmFWlXiLia2Ds8K8EVxgKREBIloUegVst2bBtFTkXWoHbyXEo
PknAGBLs/skaikE9ygM5lId4DcwggChoLcNlS02YBvgUbERrwIZRmCgByNxo1vCNjhSO2KX1atCg
mV3+02POsJFEdmSJ0tAeWo+ZmQfkyX6kEV0qIR/1Io6dKtmrmoRBo745rR7BXOH+x8il8VkLCQdZ
BpbXkpOihkm1ygpace7WNJFIH9dckZKPh4fZPklvilT3WIzI/DjNTvHeRESUxAif2SH+HNfwEocU
kzSzv8UaaxKvASflGnXSQ1NWZJ+Ek/7a982tZhjlTZLMGjZZglKmNTIFa7LhZxA/fW8NVLG79rEc
ozt2x82OT3h3HElfgR/y5cbtC0CyU7vGs/BjFH62Rra4a3jLaAHE5tYl0GVAQWHWLB/bPr2i5+GF
e8O1F4MLHGAtaqW7n6Dc6A6eDGu470iOgYFxTkiSoUa7LQxGrRUZM8Zg3OpkzoC2wVDqpi/uOBHk
xeVUp9bRWYNqEjMNOpJruoFlgEBZMbfxSy294xhap1ToNLZr7I1g1stRRx+7RuJM9gArebzEaALK
NTQHV+Ft1bjuhkDO5//0u0enXfA0ZsyCTX15i0YewEg4N+bABj5J7RdPQdYNTe05l/yCLO8ucdHr
9z2LHVTvRikuXq092Zn9VKwef+waJgqdqdUCIsVXPed4Pw0wm4Q61AMZeqFb3qQDck01hl8KHw2M
tkf0Ay5iHtfZjIKo8wGqb+uljzrsu43RoBXVnTzIcF0bufNZCINQSj06J7h3mJwcSXVjCNCmxL1n
2m5SzhugsRqvMKYMIjMuaW6cMPMGS97d1aX4WuKUdBGcR7OhXhmyB6wixt1/TKcd7GEO4kbJGPgf
T6fvq/rjv/+3f8Nwev0yv61zXZ1QBfJldUa/5moo+22dq4M6478yfEYZvm5af1/nIj+32bEhmaRP
E8ytf+cDuA4YIBQ9LIjZAnt/aji9coP+bp3r0AwaCNmFY7vMPP62GytnVaT9SBkZgjeF9AJranqa
xuUEq383N/IcJm1gSHXVsEw0ra+RM+Fu0Z1j2YkfdeH4eZl/KdYvySACs01fR3O5kqSz5PQyAPoj
+P0ypsV6EOI7iuvd7E4xEEwmyjcRJFA/E5KQ8iAdqjdlpod6Jv8H6himfWqGiAFhCnlQs8tbKJxX
bZFdc31HdkV+1INXZ+d5JP9LNMcBUt046zeME5GFkY8yvXsyeZxYRbVreaMuWRK9SMoAvC2qhz4Q
MU1qUgKKmmodNMbucugGTBn1QK7Top00T5yJoNoV3fU4O7foSkgZwJiDxM9hRBkz50lzeUYn6bss
5qzYOxQNNdJEqgsVZGE6ZL1kL9D+N7MHs7PtmQ47ARNcLtEqIVac7Ja53upV3CL7W+QGoeERSdee
RXiAYHNEr0o7lNsHy/70Rvavcb11meSxZiBo13py4A2aSzMHs5eHNxFQ+1fak26WfeBF65zHq74z
wuTajmCGacAFyx4ENTWmZb3FcJbGqEis/EyRSyILy8xNOjhF4I2lT/gxPih0XLMFYawlHQuXU3hS
EMGvC73Ecmtz79Vc8O7g3iy9NV2HAI3ehJXs0dT3BzuUx4EYjm4knhW9am83z0lHYnMG5wH/PX6y
JL2a3Jee93EN18wtZ2ta7m3kWrupZUAuGSe7xLThazeALV5sHkC1EFtEDoI2hT6pultlPUyQSqE6
4EFsdmlm7qCgYpXviIVImW9l74nLHg/Sa2EkJwXhTsDczJvqwcFz2VIPSBRRcX4XmeGWt1nPX7vV
h4dNfcYDRUFtXPQye9A7gVJ0qOadtAVdDrv+bgUnNPNkHqRm3oqkCkqvPq4SvrBAG6SKn3CxFOU1
/cJIGl30IG1CQMX0064oNNe3gWvhxch6ute2wDkJdZCtidGAcAAMTIlSeH2QetNzpbLrkDs+ltyd
gDyuJV6mPku3tupBp0oYcu79NH5ZY/SzU/fc4sFgv5r6sE+J/AVruFUO+1aAQ/WU+R6PV9GJbWmG
8mRFimgPavixJYXUeg3ZgYewfUaw7N393JRbY74ote8T7TgSDZcuGpg5SMUo+RmOAmp6RXWKbRrQ
K+NjNTMEqOZ+l2Bykz0PUgvEN8ku3Wo2FBmC1zxIhO7X+W2+AHbuTKBTycE0SceiUgnTuvBRLflm
Xp6GJT3hVPcjXJG6yWRoZjrqKX8w42s4gGfctqc+pWepR++ltZt8p1kJlKwkZTv/pjEE6KvRnzkl
UpRtTkFmYAve3ym/emsXcYO2TR109ry3moWsqwyFAIJa62ug0AkJnLEECoLvFQiLbSJwSCfTJ6bt
JoLtwjqHUO1npK0ucgmLUlb/SEKKe4r20kYxzAF4ydu2eTGw7iftR8kU2E1Qb5p4boaeFKidYIq1
dwxsKWk2/dDH8FGRxIEe1LrUaYEDxEVAaww/w654cRC51o26eJLeBLLTg6olljpw4YFul8+tq70g
BMA2Gpc/nVx+L4N8WsgvH+FXkey7Mp+WGFdbFxMSQlaUoZpr0oi3IVxhmmB/TrC/OMywMsjd0y+c
Q2LclmLfdgvJvB4AmR5xd9sC5SVOwFN3LHyeKntm0E0RCwkTUlgP88WpNeQfjJCHFg8dWP0EMJY9
NG9k0JxTFpcFAwuE5NVGoaZ0ezCxhfVY12SUOYX9nnjXJaHKiYgPIiKkQSzgNpdVosMwz2MjKiRI
Npt2H8rLPKhtSkyOWz4pyfSLHOsyykl2TRRBsaSMTO2CQw8wo5sR8J76hau3QaHrKBEBndnO09Jg
t4zdS5dbJ2HVVPO0RK03w2ZanOdYdC0CHxX+H/AS/73u900qiH9cQT0kAMC/Pv75PHv9Mr9WUNZf
VlYSsjfMHubf8RJB4q+sJIvpiP0LSfH3CkriA3QEQBBHWDj2/1hBwUEysa+sZCRXZx//ZwRxzr9Q
QRn8eISbCox//9Ow8gdeYhEV02wukt1XvxTbeCYWUCKj71a+W5QhbLHnea/JYsbEmlR7A6fIFlbH
VdiNBwWHrGImZcjIh+TX7aeOKFPNRm7dEJL5Orf9OnVZOxs7zf264Q9M8jS2XZEclyRCcwxFQIHq
D4CubJTh0dI1sJhTbnj2VRHT82IKRtO+1hE6XeOGf5OpjjsegbQxVcTPFMy0VEd6NZMptw2/i3F8
YlTI8E3blSwwI6ivIb8G4rFDYzfZ7bcsiMHAVHZJDa86o9AmcgZPcJHPV+DK+ZgmHaFWRHy6hmZs
ge6Qq+7dO7ERNEtL+9g3T0KVn0ZGLE5mmIeu03Z9J8iiL6kjCZp76dd9K4KfTQzLJxLRaaZE3uVR
e2eV3TmO3deQaTfscTfel7nTX+TANNkxih/zkF0inewVhvxnuxJaAJ2LTprU1E4hDCrD0QJo5546
7BLYmOQNN+Fu1L1vao8enJ9xrSy74UtTErkxUPsKlXXpuS8qdW/HnrisZjG2Y8+gqcgIZwmtuyHH
fROXeAYymw62tMOHzKIPXyY92iZFhOVQSZS3Ms322bqSRCotjxYDyn3TTPY7Dp7Yx0ii/LyNaYk9
Vn5xYwSIh3MWfe6x9FIKKTwi/mTRWtchHCcS5k+qdS6R8HBH5tWnGeMykcWrLDXBXCT5FLX5SNux
V6O+W0eG+JxZF0ZjsDRUDoYrDg1/vC17pIsFWIHU9I2peBqALFY9GWR0DBtjwT4PVNIvJ+LPJVMc
qr4ori5VnV+PLs4Ee5zRe1EG9+6ZAb9Pm0DFLeNzMatTydNvzjg7vbB8tCfg3gqWRYsFMjSOKYvo
Vlj7nvUMA8czkYmHuLOPBspJR5U0Bg0+zxD35oQojb7jgbCVvUzy52VpwUz2wxIUBnQf2roCcjBe
/2LpHomC8+eMQKqIdLQYJ4aQBaYn5BIE42GQArrOEGhkzhqRa2GsXqoRUxVJhsesGu4MzFZdSG1o
qOihworlFeLBwppl5XqPCE3WWxFFWK7G9qXOKUrYL/cfxuruGqLxf5B3JsuRI+l2fhftkYbJHYCZ
dBcxR3AOztzAOCXmecazaakH0+fMqqzMrO66Xcors1Rr11UsskkE4PiHc76zM3zamVY5vyYsYGSY
ApZQrrBZBk+28omBmXwcIVcFGMgkRrKiNZttj7WsnMOzOMJrxhQ8XxAFf4ixoVUffrR+AK2vPGpe
Mj1YjmyXgotPTk11439Y2oIh8zCU43PrWmQCGN9mDHCpcsK15JgnsnIXjjMY3FwM20p/FrfE5Skz
g31rkNzJFLBD5pg7SG4Rd+B6S2sGSWM2k1vGMVEp4SrWTCWs4T6PQkU4VTrXCsGr1QGWVwpYQbnt
SXT+LnrDDq3sqET5OnpN18yu5rai+q7ymH6tRrKoARLPVeEVR5+Z1616EV07rjwak3Ae51iCGMgo
9Weo8+uhYQfIuq/bhFIES0AvV05Y1GuehEAuJXpPVncaQuAieoyt+CGlvB3bcVPbYtfzybKo2tpC
uwGkHKFVcOSCceBJ2AFZJWtp4NpU61AL2gtDVeNpT10WUahbFOye4R+DsTyjsmqWHVV9jw8jo9Jv
8nITxqohFTktr4K+zpKEIV21CkLLnJvcbViXtWTCV/cJLcekSnbGwA6AJI9dZoUqK4AHTVA8Fh3X
x6XhdcPbgFihUj3UOMTxm9b2I3Jn9yJIyaiGgSV4eqriLKcdq1RflvgwFQwiTlYyRGMi7bZZ8UV7
madasLfFmF19vLFV7mXwXlx+od0QfPkt2fGHf/yPf9fqxWTS8hfVCzkRIPzf//PyRf2cr+pE1yY9
AOG9JXh/KGn+bwMgQUIQ7gwXNytnFLyBbwdAaPUtvomwEMSLLlOj3wdAKiLIMjDA6r8PlP5G+SKl
Uh9+DzQCs8ZgSjcENYxpoiP4dh3f6F4voUR6Kzs0j5jWdkmsmD8VM9LWJ5+drLgVeeDsxXpJurj0
j1mP6AeVB4Ntszqz2LlsyQOCRZCoPigwQdxF9/1goTuuxjNTAyo08Pa2EFQnSXc0xHyY/WRbux0J
ISW7dU8F1fbOXkf6TPYkMRGEvlmEoNedcZrNKdwXyoTYNM7Rx7w4wtw1rKxIBocoq3UHRHbkCGXl
VZB6D01vHpx2npbsB3ZGamHm6ld11OFJleuQ5cbIjCBmViBSZ4MX5jrCMxAm9d6XFkjpfOdE05aM
6peWyEqW72SJJDUdRc4+QbjrImHDPydXIyBE4dRqXt0vCsfa1KxwBsItQho4JdFOc2ct6nkf1P1K
wh5CDMHKXp4EvP28vD+vqADzPLo1ScHcGCasm7GNCBcqfALNI1+5KEiNOWNxuEokv4Qvhqc8ZWus
aGRLz4HbJsZgWeXKvsMQeUApiZUMZxqYgnniuMapPy7KggVHrguyzHD1bfSi1FczSUPlmpGNvXMa
8zWeiBCIGOrAcPA5/JRWsYLoOGty3vpdec4r/YLeaK8lsEpqBU/wr/oQKAPFKYVPrLxLgfaSxwE8
GgKJUb4jGpfn84xwawQ9JOrkxMeWCzhgYng9mxRJWbybc4wCuMVeg4++uwG7okcT4dXUOWZwFfj9
hr35zjSeKp3oZtMPDnrmjgsv0YmUCOXa9acnGZLM4FuoEydf26BBCFeGQ1sIl+4UvBxveZ3xxxQO
7OdLtPeD3ayGuONFxQoxb8l+1nPYyO7Eh2yrDSWb+W7Bw9qvrDh7dALEtJqnwaWhhEQ1zPvZw85d
lnq9cPSJ+JpWg/jTW0c2KfHOSuBR2vADE3tOn7UUFa4sy8+u0XAfFUxvwpFdumtNNyWvZEPv7mbL
33MDn0dTe+HrlJ9Oeaw1qEmxwSZUuDkMykQflzaV5EkSBycsLOgLopUkR3pMSSAqk5HiKbGWMR1v
qcfn9ES4/FCG8XuxasTwejeY3DDcp2LZww+uEN+ukpo1oBB2srdQ2loVFcSYAGwopzA499iZRmNz
nvXE2Ws6FUc1aVg96uuKU6AYiVHXyzrdkwPKqK6m0PXc5tK1h203OG+FNmzjNrwkrBcfuwE+NnQP
ltO8TUb5khkj3U3c9Vvgk5vSgVcSN2+xyuWqGoNhY8NdqDmQaeOYHWHYdLTwGl7CwC1vPK8yDxnZ
WmvpDyUfEZMyx4xZCYL2xgricmvF81mZYhP3827nCaCyRvBokgS7ybsaVWXUnYIq2MR5cxmxa5Tu
tBeEoC4Kiddaay0Ato2HV6in8sd6nd2Xc98dOJDvMyt7Q/e/5HjetS6skSjVCSdN9qNn3TDFJY9K
vy2K9gJGwp6R0X3sykNEtZzbOG/TMtglusWK2QV1TWSaVROOaCvr3yiDe69WPpwkQ2bYiQfJjujB
ssPqTuua8ojai/uzLiHEs/hyl0GT4Ga2JLw3Zs7oKLPxssn0l2Zmhe4E3rMTue+RcG84hY/NEJza
PXRyATt6YePOWIYWXCm7L7fExjB+tYa7UWJUMlN+zSZmUjci+NOb4cykN7MCRsRWf7Aj72ksk2Nu
66swlru2yA6d3Z5IxcNP9ZMqGa985u5sk09IGjvFyQLJJbqKapSahheoGPZ3t5rBbU1Ff+2M4noa
ixOqnF3kFC8++HG9Nm+TmMKQq/amESYSAJCSE+Jtw8YDpqw54RAfhBaf2jkTo1pHIGOSc7hoShxC
cR5C/iKmjPO0PfVT8uMLZ76S+kjd1ZoOvTblfpC7j27l3ht6TtBXD6Sdb1k1nmi20dDelBBJL7tR
LEQURSzr42vXHLRzyAvBMjf10ywQ773nvye0RcyKEewTK6KCQ3aAY26CQYLMKQ42oTLb0ItPKxVP
XI4cdbg8HyCvcnNrNK9l1r7KAFIPgdzutoz9K9+Wr3HR3Qaxbp60nXPb+DV/mC9uLRdyVA4yc5Gn
JMPOsFUHLZgWc+EcAbhCkIVbgIQs2lZlA1TALeWKGAlrWwzVvRzDQzrMb41pcgaRozYT7M71wu6m
Q95hVEJAkxUnG5Tw+64BKcaK/OhFxbVdwdTNXe10HhjVZajG0LLiZYfmMhbu3irCzyB/AWwCFMaI
V1yMXlCAx9AXrAGuBpYipUtaYC3RMaQTLtoatqE/HyOXNroJq/oxTexTI2cKr2szzwNP4UyHy9Ey
6bsCsxDtTEFMTURHw5+eHpOa/OSayVzVZT06BTRjVts8xZ6NxkrSEcOkDcwJ7K+VI7yP3pLMXIqe
5g9JgcueCW+Cj18e+28E3RijIfsgzCXsS2YYsvLECXUiY+phaSmC3KR6DYxwetzOy0B4J0WXXwzj
XC202djGfS5I4vOeyqpcBeSSHYxouvFY4qM0H08E1YijKL2i6tBcMJG0wwg3mxOSPV40zITgwssp
l6QfcM5FWnIyQBNYwxB4bRqQ/sP8HNb+VW2nD0lAjKwlGeaHEvuUUZf3dc6pzcGBJJqACoW4va7n
6cWu/eEanxZLtGzYYpvrkduh1gcCjkNseIn79LGOjWOKHWLRyLxcVtG0JgPbRKkzyoVToahzCvdF
6sOyw4TJoTqlp1kllLAPjUzeug/Imy5E1F9WfsQ+pH+fao3HomDNZ9NdRtY2ld7NaIi9GbBMLxHu
1VO4bi12c8gnjkJLDszwadd6i8gBBjSeRVFjpuM6EZNENMmE1iSWa5EbgDomOsluKuHp1yvgFGur
LFlH9CvbjhApRVes82/7oL6UusPb3tqGVrqfoV7JkFDtmHZ7EtdWiiQn5bBiai93ZpPRYrtddpXX
07bNAoQUwifAyxT63qpAVTOOXrs6iKQ2u4k4djVB89rg7Aii7GmSDMgjR1cohHJgDcFa0Ce+m1qg
uOJxjvZx4AYc7Q7rzmg8qxnlLeIqfCWfByh5/EJxvCuomFuN6Umt2fuwGvdaNZ2WkTkh17Jf6hwV
ieHS0v5/37sZX5Bvf6mjvnlOm4iOLG9Zfyow/h/f9FuXZn2iKpLYmQW3CZA0xs+/dWnmJ+zTHoZU
gPymJS1W+38MmfmK4fGvWe7T2/FNf3Rpus6/kHi5GU5bxt8CviEK/LFLozvzHF1iITOYMn+kuX47
ZJ7buBrsmGlo6tgbD0+11RNSLDjAPQX79nBwjVFIuyFufGO+ArZ2ZpX4Sk0FC+8YJBZIHvkf6k0X
CNz+NZI+EOOuaNeUyfeayO4tDQg545Z3r9C9bTJMJ9JIbwzc2GhVEaZZ7grPmuKRIjoyFN7cV6Bz
MqjIX44k6TgKg96EWXZWKTR6xyGzGxUufTKTcyfIXuIRkLpPegkhkMDVxWxdjJPGe7Vj2BtDYC8C
9Cs9MCIyvX3aCgsXdakRDZlIXpmGt9Fgucu0QSADS3SmEFjIom5IVe7eg1Y7um3L5A8WPOXdqTEP
AFChNPWKF4+Rt1iFiiFvKpr8AFa+VXz5Nkp7/hCY810wcvCDobcT/dzNO8rvqX0YANVrAOv5oDHh
ZMVrD8qEwgZslKLbJ/xfrzWA9x4NJ6pUtpG1+9BHAyBScDi8I27qoFyFJnU/V2bk1cQwvczHnaFq
2pkxUWc9VYCPFpUDq5Jz2pAaEI5WP9SKz2/Pt8Cw1eoOhNOsGP5tUoplkLWnGhiPZd/hQu8/oP+1
Ndy7SZ2Sz9D5N61dAoGLMbnSy1c6QlfihbYjeeZ1YdyElD9rk6N27aHFdSNYbm7bY+Xwn2PK+8XU
WiuJUbq2ios+5Op3tn1Sdo6xDoN6V8+S4Nu09ldYttJNW8XFMhgL+Z4FvliKxtAAp/TybtZIm2Vy
OLKl0NU+PepWU6pfxqKCr9HhBi/j8aZznWutLh+HFqGg0NqzIkpOeLjY7GlFhOTUygD0GSF/DiNB
4PuTc4hcUtU9+osoa/a1V54hOzuL6+59ruyjkTqreLL2ifGgNeYzf8MdaHw44xp78M6xi0utkCXv
Lym0xeh02me2w/CMkBq7ebNx45ngGV6NUptfZRkFJ3pjiHPbb8brwrHfx7Fc2y7W38J8GAQM6LYy
sstc08br3kObj25nhzdm74X5FYuSdWcWGzbjkoyD/iSjBt3O7Gde4zLBMxfJyRangz+j6PK88tB3
+lA+aAQgEvh1MFtkArIEOWuytfUZXvjBgC1gbBN7n2h0cAFYZXDKGcHmMdFCte69lkAJQ8KFdVIO
Rxcz1RRg5cd3N5/lA4RDW1u7bDbdwRtPelIN1+2MSiKru2zrRw2b+Aa2rT0hdI8xoT01+vjUWvHe
YXJZZ9MbIhpWIGDYVglKmE0doiOYI6QSC1M3nr02Kjd9Em3afsLcPjWn+cCEAaTWmuYbSBaK2UWK
5t7RMMHCmjkkg10tyzC46lB27z0jE59NZNNnnlHrKt+L1lUPamkudS8Xu5DlGSqWZsY15fXeqVPb
tEIutAg7mJ9ivaC9qeKD2/GQOxm0qyh0TrHeEvleYeP0nGgP+GaVYfPMddqlztILHtV0HyI1RJeQ
6mTbI75AuegfSlf/nA6SLTAcWsdiLDy12yC0/BOaUG1nSzpjEDFXsgnfBzEdohS6SmYBavbPat87
B2voLgaLX2BiJhXU3l1pVzk1W+2gmE4H6u98fLaT7NznQQ1n97qw3BtmyeckKj/omFAkfCeGLcr3
VTE7we5M9+c9ypQq12j7fCMspvZhRCLLxCCPjTqDjEl/1EwyXFvXPTFyeSasjhze+QK/HEpMW0Cm
Kg9aZb+Ew/SIln9j9d0Nt8MruYd3QTYtE+rxTtaPhFXjgoijG9uvL7q2TVcyoGudbSJmC5PRS03K
04qWdG/2OAK60FpyTl6iC36DS/1mCfBYpBvA6C47cEZE7YZu9tSp7N0c6f1ahOTxNiqZd1QZvZFK
6+318X5W+b2GSvL1KiTUJeG+Ws8bQ3eQu3MtUXEMzZGFKvIWe7gp85JkbBUSnE7FtlOxwT6lbeKP
j8CTYHoQLMychqNQr+3VmDU03h8BxOxBt7iFyEckndhD5RqTVpyo2GLeIi4jFRVmnEsiTeCI0Z4b
Mdof5zKyZ9hpZCDrSWwt52ocdx3nV1/58J8J2LBV1Mb/lcpt+16cP2fvzX9X4/zXArlcFITtf3z/
j0zzf5v2r57b5+/+Yf1RIl117/V0fG+6lG/9shdQ/+W/+sXfCq2bqXz/H//t+S2DpRo1bR29tn+u
wf6aB3D3TEP7Xj//4+/7KhBAe2sKXP66VNURG/qvEkv0kzqJAZR0Kk3pmwm7CxpAoLHElm/JL9/0
R+1mMcLxmIgL3aTy+1uGN+fPtZsJFZhkxg+WAFpPFgDfTtjZPxU+41sXOkxIEzXo2t5ymF3zq1cA
8sJjXFgD8/EWI8x0FHFyYnkt+2pnpN1jO0Dgy3QFpYB3vpadMlgkDU4fqPcEExMr905YbHcwSKYl
Jq9ni10Eg/deJ5PQClZhI+8YYu+MJr8MJgRKLOB2uhe/zi7vshlMn2F1Mx2fOKvbrsGuVKt1J9Yo
X2O+YsMqcMMgWlgB9PA2DM+GrAePX9X6Ji+mYZeB4dogWCWfBpIySzfDPXUGp9+Q6l0tEyeZbwco
ZosqciW5IvjRewhimmucUzGehNO4d2i/nRHZTTX2lHRGS350vfVo1XVvcncpWoFFTBvfIyypaett
SeBsS6Pf0/D3Hk9kGzPl7JugW5uiA3uQWjBr8vxIIhVzA7NsFd2QYcKsxgqTGjDUA6enWxjbMKLn
TZhCkFpeP6LqVoMJ88hcAK14Ma/xam0rNcQYmWa4IrlqQY1azNK3Rm8jxStPURMRwarGICbzEEyZ
e8boiLgZIKVMTHqmMiwDGKIUWr1zmarEQ37syClZEJq7r9XgpSPmaeF1nHN6ZVzpajwDEW6ZZHLA
I88EYR6T8pLqTIJ1Zr5TjXa0hUi5LXjTjqkx490YzEve+rTsnXeLCm6nUUSsoiBGi+VnSJ2Gc7V7
T2vmi1imqjU/EUU6CU5SQHTPMKpJSDO1l903enrrBNZDrgWfo0hDLtfsxOw86V5z6TOY38WTcUk7
fAn74CJN+tdumI2TEMLjItMVTKdzjx6A9az0nl3GswJyGhuWOENOEr0jzXrrCrnVLLjHjG/XEfUP
Fkj0wQllKnNqF9I08PSxv+9nJrJkU2qUbFjLomo+kXp0HgjK/1wjcWxG5xtPl5kT3Kayv9cnl51T
DlkAgSeZEAOxZcFnicdhmVrGY5kQppMw7Rr7DKK6nr5aUtqIB8Utr3570ZfRe+VPr16sneWF9QDn
sAAdMYlFHTBq0cydEetnqdV4nw0mY202d/yU+tZ3RBmwlC3eRO9fzdy1a7P0i5XItZrFjOQu6l2w
lpXvPvttROKw5960hf0YGEArg4jPXTO1dpWoSSHZYvWeyG2gCVpwzSCvPHdAnW4MnQBvzR+eLOCH
7wys7zNzfMlFd5H11TXok4F4Dot4ai5U1mPbEZXX8WwV1EalrOB/FvapLlBkBrp/22WeS3WrNEKB
fSNycyN0/yyfk5chrrU1HlcXPFB8DeLibvRHjUIrJ7oZNqAv2u7QesywGsN46afqgS+FOy3OxDJq
alItCiIcrBAyXows/Ly3enuFuAvpaTbc4jKuCa8c3+w5uZ+mlGgf3zhxXO26tAf4PJ4ajsY3TSou
C5tTo6gTQIzGjlnNpayq06iSy9x1wVU3myztLpwWDK8Z7DVjWpqIAieePLDpZ3qoYSnijES0eQpC
6ejXztKrjsJQ9jq57kVx8JKCb8jkvhTO1qjT0xrP3hiYZ1No1uvaCol10Rj0DJV+iwoTbhV3guzI
UBA90E4r1jdBCX/JSI490h6IhXCJavwzSdzdy6Bcl35K9qmdM7rUzJYCPj4pGbmqGHZ+WdTKqXad
MLlfRXzkHtoTFrVwUUISLgPGhSgOEoqnoT2IZgTNYjfjxjAildIEkXFCJRKuhsAkRHQKCOZmOMbt
fyrLinASrdVJnQMNb3p49YpY24zeuLXMaOfEGs16IiAimyObqBkfDSr3J6u17nWHkL9a5xxNM2TA
hlsmb4THkyMLqSnsjeJU1PWFn8Cumir+2ByeJQfdRS9P2XysBYkkIK20SImVud/L2TpJtfLE7W/y
1PZOKcBgrkEvaXlk+gvHcgtMTPh8sKTzBnIY84+tnW1IyWX3LNtzf6Z6n+rBOqP5GRmUDaSZVRnJ
GSb+gCnG1ZlmRbmFkxjitUEkI030Z1lnAYTySQ5TAlq7r17DbNrB5UephEQ5zmr+R93iJRPqX9lY
lnH3mUvCQA0wCiqZkDfvnBBkDImyOnQZJbhtOYdwTjl4OravDZYAbKfWcFEK/YrWBfH2DIy5sMqV
iU9qWTbxMY29pyYcNnEYv/iFvm0a5yJBnrrUYWFkxBHTYhAWOxT5Ier51LoaKHCYNpixDes60Kbk
tauKk3CUavBe2MdCR05bSUdeAswwpm0v5vTWbIfqQQt5x9lxfTvVcQnrzovlSf8xTs8JTps+EKZw
MffZ5Fyh2+l3QLL4O6xsw0L3MABAHZ3qxVP+83LYOUDqQ0CpqO7OIj6HEoCqlpEyEwk6MZSDth+x
L5vkia5XR4YgjyMQVlrg89S1UWIl+0xRWj1wrSwByCjFVO+Y07G3sJIAdmXDNy1bQlDXU1hOixj8
K/lmVD0BFjlb6WhAxPInsi0FGsurhmdGvEv8sEung0uGLcGD8rNIhH2ZpDMcneaoWeNZMel7HzAt
kgqmBXCmNbhEo2LX5kBsxx5U+OCEjy5422jGVcbXxdIAfRtP2TtRiebCqaHixjmfvteQIc+uwYCb
ywN7wgC9XjFpyneV04E9c4mV7RRx11fs3QGM0wyMlxakYIEJn9dXpF7xweyN44OuKL5NVjRbU5F9
Jw2xH6s+CyGzvALPNy4RQlMkmfZdnVtnA4jg0ooPBchgs9bPgUS2DJyT7YRAY2MpvrA9Oe4Stay5
1TSOI51mEzYKRGJ3Gp9NxShGDnZolR6+V/ziTpGMDZ0htWZO0AItUpcDoyR2xYsv9TS8zxT/uDO6
K9wxzaKdOn3R5T3rCHyNjd8fU8VPLhKoedy5aDFhK9cF7reeU2dTKfJyP7fphg8nXuqZMbMYJWeZ
mE1gzRHY5ljxm5mLZysLpPMU0G6BeBZGgcEe53OfTK+dgfE5Hl5a9BKECL9WMYSdXvGiYbRooAx7
0iBjKhKg0lUVkTlO+dp1vCPaLC/XTWW6m8CdlP68CW80q7ntFam6VMxqD3i15bFJBWZtx/r9EMUv
+OR2UwbtukGvW5NvwerV5sWRZuS09LxIS7tmcK+I2X42vgUgtC3g7iZCdglae1aM7VHRttHJVQsd
RanRkXGuiNxNm0GmUZTuKZiqi7iM7cOIJXiNgo+7ECHicuBdlkS8HRzTgI1oM5lCuZrzSqp3dtm8
92PwUHnuux+I8raJWHjoUfqSY1tlhjevqRm9VWIQaiyS5rY1HBi20wH2grGkPc6WOJ8TVXjE50wY
HvoWNKFnKMi4K1eGV2LZ0A3A0dolApltltHUk7ZJkcKa84yyUZVb+WtfjQc/cqHPVPhoaeY3XKq9
LoyXRNrofLCJCx9VozkTYNoGzrBOi/xl0sfLv9/8/pvl5X0F4pmEt/xzydndc/2c/K//+a8x8dSP
+qo6o+X14MGy0viA4n3tiSUBe+Bg2Wew2kVGRrf8+z5DfnIMm6ki/arjSdehXf69JwaXZwmdVQau
RAfYnv13RPN/DrCxGOC5Ns06CfLsTgwgt9/2xIHWGbhlgMBoPvwtPRzOOiGwjA/N6VTO10VBgZl5
IM4DcK5xK3Wwkf4NS5hpUTZIDGT4FoTBk4gYLjsjsmqHwZ5OiEOP0Dpmll0zesUdQGgcdsFofmmA
jOpteK5CQ6MxcpdeC5KjzOuDWdlbfyoP6LrvMB8qrCRneZ9gXcIsn2U+oif3JgiKYjlV/apEhgak
ubfpuiqicUaYfn28bBr7SqThozU78hSQK3vR/BJKwyaLi3VuU7jY9jLBs180M4Jj/xkg2ErGJKfS
Okcdg8C+QcrQuIchDA5WBP3ChGS/LB21B0HNdLAGctHNbobNGR7BPmBfjh+zkEmBCfcDNsimFITK
EORJFgH6Z3jjzYgQqIGQNgCsLaG4DvD/eOP5Sw1bntCjlVFRA1Zoa5HQVSE6DbtG3MTlNpIUyg1B
NTENMtLzq8DJ7szWWHbuq9DYYkCO3lh2cAv/Otob7hVmcyQKnJegVrZpo6FRZkm/RHK/lUF/nB19
MzamiwrA2Y+1EsI66AgSVyZ7MXXuslFdZN4m9+oWXZIjTT/A8Hspy+nMrqd0LT0tvM065Etep/Xb
MbPzp9Q2mzcCf7u3vI4/O8D12NaSGk8pXpMv43evlSYwjlUOQvQ6X3v1W+4kz8ybT1zNv9fNCIdc
egX5/nRq9JPMplHyEdu12aXGES17RIxTFaPSzh9mhntMUNbdFDfnBUkJCyM0LuyI4Dyc+Fs5ALyY
6ZXjGP65DWIGaN50JSPnTKZVu7IQKG+Lpt22ZDTt0KCoEuu68e173Q+vpMWn7NRInuJp+ffPzn8z
uS5uH+Z2gs0qB5yuu7bNTO0vzlD2vk0Zpc0/1e3+wx/420lqktXOMpHzEh8RQc5fD1LjE3pZtLnC
ZDHsEn7zx0HqfJJofVn+umh/f6RpsQT9Kt7V5d9bDOs/uo/+wYX49iAdMptptUVFZsnRksSCOhAc
YYGzDU5HsgTb5sZr7JhufE6YANKO3pgzrcVCYzh6q9vsPUgENnap6+vbSY9VnIVtEbzlOsz63eTK
yvKR6JOsPo3D8Y5WyF8gm+sYhmm3Y5go5GWCWwcrMuajfE3BwXk+s80MgupyKivcinb8zvmibfXI
m9kidzGbJ2Yygdue5pRzglOy6xHzeQhSEXQwlCvppeh9YC7wpTQ6gmcC4xIVl+kQI8zK3Isa7iHJ
FdCjO8yWXWu8s1nGUhCuLBfnT8WKKBUAH3AbPZJfTVCVhlK3apJwU5WyWKYFDWDRebQWfnzhm/Vm
QsCjzeZp7eLaLfpm32Qa0WlJBLSBDGc8mhGoIGBATPv60zJjflO50bo2xdEbRLo0MqrvHHPtGtkx
TobuM03NamjSY4+D3deHpyKq2OORwA4LJ3u024qdhaqwY/YjZtE9JpKBX5iZ22mAaJU0wbPtlrtg
APzFsBQlUr4fonpXVqxceCxeU5MtDNu3kwYY4SJEOowuq6FriC4da/ocatZVnvndUm+o802LCTTD
1KMwC4YDHuOkKbRu6DfJn7Yg3DCXvhCjMb9OJRZp4q4NOvrh2jf4pQJJj5ZWdbZqNMH4mWErfDXw
IgGwyoXdJndJKHPSyfO9l8h1wHavd6L1bOh3Xjnnq8zWWpIcJ+Ranr+AP7iv2CmVDoo0t0C26Hh7
jtlnV8rX2hxuTDZSraY/1poERFMeLF9uGrW6wlt6NZrpCiPoOcjm/RyTEaShInBZUE8k2iwCtQij
WQe35SJpdtSaLGRf1k/ouyO1QiPjjWYqItaR7ZpnmQ+8fs5Ltm6G7RP/iq6abVwm5+dWredqh/cB
3nR2diHbuyHGlj6yz8v72EWbp9ZK2lnExi9m8xcU42FKkneDjWBQ8ArM1ZIwVOvCiUxrl/3hNIlV
phaKFZvFMCn9QyhTZjhq7RipBWTXZ/terSSdAZ1sypZSwFDw2Vr2an1phw3Yswr8kVptemrJGbHt
TNTa0x6NJ833X7xJO+V1czIkYj3awDubArcUO1IqCijvOVmdapFqfOxUM7VeLcsY0yDNz3hWQrH4
TOx1BFY+uErVarbXjIOrlrUjHnFNrW9tixt0sp11pla7hG+cwltl2cvWN/SLcoPb4DkPJBvh3iWt
PVZr4iHQ51WjVscNO2SXXXKYpvuW3XKilsxCrZs9tXjW1Ao6/1hGlximpYwPzKVRv/bF2lMra7eo
NjSE65o1/KyW2hNq+43RQqNze6CqbL69xuV6BW8ww85MOZ9nbMgN1P0pG/NWNPZe+9iia+zTUdTe
6bKRJvFNZUzLmntTsg1RYZLNzOo7ZkzTuN46Am55V84GMD1/0MjlouKx772s0D93kMrQrGoOmexV
lbNpDgHi2ZiilnZRrEBsPEYsr9h/hj6vfsgOoWlfyzyDWJBvsAQU8GGTNYOipT5gCQVdKPZZXybb
0ZqLE2yF887waOWxyz8kZiQAierOFj7DYyp85iUBKv9YqyWh682dFjCEmBVvNgjJQPfFdGrN7oWH
AQv+PWGpMxDFKPIS4kFYnSeO+woyokMDE9+3uhYx5na2M+mOe5bXPjLYBBekeUYQJSIiue9D8sJS
/OXpmsIrIvsVtedl7dTJWWMFfFYOvKgsCShBxeSuc68IjkaNgSSh911FJLEQjUvl3xVQeCGnyZNB
+uLSnAfrqR+S/CZDBcIWuRnuGQYN20aroRWHZnfU7QYwgDUwB8FAiFLZxF1CqCS5KsIvnhsx35eF
wx64z3BY2Shiu6Pd3tASgxJIjgSx8CC56bNIgmOLKqkwtIcgj/G41N5W1qH+/07l9c16909L2y9e
LqxeaqV7WUR5e0MLopRx36x9/6X/6Nvd8J9/0Hdb4Feksa3aKQdRkX+3zbV/7H8/ftLHr/JXPyF9
5jfu3lgwC9ilwkYFSIcqCWRVC1jGDMFvXzbtT+x/dYoxqjfnS51GrfjNFfrzr/7n1ff/2X/z3R/w
nyzCXbrt72rYf3Idfvgx310HSBM4ybAOkx1Dbfr9dbA+6SZGeMBCLKMpmVEr/orXQVLi/vR1cBhw
gKCx0WAyBPn+OtifDBN7MzoURiCIA7hMv+J1cJiJ/Ox1ENzxTH88A2Xrh/Pw2+dCkBlkSINUIISq
v+Jz8XVE5v0o7v3bj4b4BD6C7BxEuVIFJHHvf3sp5CcgWA5tHnQ9MhrVHfMr3hK//V5/CHL+9nVQ
5lHWiAzf8DgpRcqP10F4HrcEl4lu6+Mk/SWvw08flc4n2NgMH+0/omy/vR+4TMLS4VQjBP+NHvJr
XYffHw1+wZ89JfhbDZNJLIknUDRU2sl3j4bNlEPqRJ2bElAdUvZf7dH4/VKQ2fKzl4LRuGQwjljr
64n47V0hPqkgGcWTQR9mMXf61S7FF1eD89PXwfkEysbAnI5mArP5j6cEYXNo0zgxqSLwjKsv/1pP
x5fr8F9xP0APsk0M+oC0PoSAPz4ajnQoOv84TH/J6/Dlkf2Jt4YKWKJi0oXHy+PPBbb5iZuBA9PT
dYPQAbVR+hWvg/zpgoqjksmty/aMv5ej94e3p+ClokSoJE3JX/g6OPRHfD4/dT8ITltm3/ii1HSb
D/zbc9IhSwKxJxGWqrrmFftr3g/qTfdz14EXgqdjLUBFzFmJ2ev768DO1DZ4MLgUHJUfeZ2/1nPx
x6vzyxH+c7eECW5NsCeBrsZW5PtLwa5E8U8Yp3r4OT9MdL/opbD/C05L738zdy45bhtBGL5LDkCQ
4lOLGPBjEYzHsDEOsqcsYsyIYxtSaMCzcja5gI+RfU6g3CtfNR8ixbZMpbjopS1NN1nqrsdff1XR
cRsxmES5xaHCsAZ4VCm8c05No5XcgyMaeEB3JCTy9H067SVTbUnFZYgiJXkmzkTqrBwWgCMyKg1g
PMDIiKH/n8FTgbdGmxKgS3Fn0+vZ0auRLqElUAMpsSfThsCizkQResQXobTCJi/aaGeX7kWCL0wF
m9qNSPjF11QbRyk8GnzsM7MRerDNozTkg4QaFDLETrpT6QKKklxSxPVPiLWFVDS2GcToND/3wa0C
SJjmY1cvhjrignlF+/ksXeMxibPAGRt6VJG3WqMi0JYgeg2i6agoJmy2qyEqgg1IaxTVx8CTDRY3
FIXEImHmE3hhZFe06HTzdshwdn4infkEjKBEt1eHQzEEnk+9OfkMKt+Mn+GmGPQmAyoNJEUCLnGY
CK3OlETkSQnfKqOFnuM+tqh57YlAS5LeYUpDFImNHCsJ0CvpEYGvkRKtr+Vjt5REA8skC9wMgOuA
AYeglmKRMUTDq5F4iAcQmzCc2Mt87JYc+rArWSASlzyXT4jZ+I5nkXjoSSQSEGfAmnQ4El8i1gjw
GUkCU2t6DmGDV6JCSO6AZgYMnXTVoVrgYgivO05bWEaAl+HFIBEOBxoPmzDD7YshrVC1ujJFDDGu
AlYSSO7MoQo9/Cnoo37mh+JGOKorpdm8Vg4CywBPgTiQ8pfus8Mjgd8ZAfLTWL/hqTb7ORR09boy
WsB8ArwQdYJiZxCH4zOzkXormjiS9pPpSlQDOofL9KIIFxBFBkMCJ9qmLsn4xZSOJODcNMIiAHXN
jzgJQn095Edfi/lcoyIaDsTwekRevIqbnIbB8Rz1I2RYhk5NkNkAyacDPt4CQ2vP1WUEw8pn/jPE
CYJ1047aUVFMGnhfHX8CO5DgBaej+wcIleBQwyORIKmIfiFAEhQw0b7btdvRJj/VOgKviRlzCbFE
OyllLIeVhwsBlSwiGkFVtBbbIcvRRhtqlCqlKC6VBCe5/3AFMWAsB2EWxTAkwAZTCTfcPA764BMx
oBiIIghALaQ6yGS4EZhNksAkgl0FLbPmuipgGVEPIA7ChJnohsAj20ETcB/0ysjBtcNgrXPSWg4i
cIGzCbsIRcVbGKrLwMsSDg3kIX9FQjhuYpxZamLGl3qW8vP3ZbU1JOayONhozN/7QgfRTT9vubum
Wygc5dEXpbNVs3dhiNPy7ycjYq7hFw8+7PjGZp/2z9sXnG492qt7q+4/f5F+WPt377+YD760jylN
v37+6fh1O2tAqaGNnZ5u0qSrPxKXNnuR1/c5TXGqw5DP3TtnQtrUbsGsyE357195t5L8GP0G0gRV
u8HN8dsu31ysDTztB8qv3q+okNmM+WcCnGo3O/5T7OZttsCb3R7//jyvSl1skfbVXh3/3NefZgxi
EYhNu9nrKi/nDH0RH0i7193x22Oxm7ObBMTq3a4aaNyruv+nL97mVX65DLe/ahLhat/tbV5Xu31+
+GPGvGZpGaje76rRhlpZXjeJSLnb9U0o1BtWu5HSPznz2p/prry3rbzAAXha0Z/2Q9GdpFObcZm5
pH3sHzTCVMr7eXEoR1a8lTfesvbBX+Xbjx9sEscT1K7NxKQN47i6hQYSX8B6Psurz+V0aWFXa5/7
tt4+WkQixEzt0neFMR/dQieRSMmLdvGXqNMKj6JbabA6YbZ29Tf7oqxsEl/gbtp91eaUS7pI++xP
Gfq1z+tdZTmMgiRr1399v7etvMAdui0fNvmjTeyL3KH6YFPkQs3XiuTFx01hE7dAMNq1cVW2tUUh
Zgsc85f0qbXaIOHNax/813pXP9gefIEzfmmIhtL+/MZ7G9ewk8BJswhio5XKbVl8yn+3qC1h6WgX
v6n3D3i23ULmyU9MQe3qvWSu7F2j/EFumjh1+FICeCUxeRJTAQX/X4iQl1/PBnD0lddT2KOrurb9
2RjTkW+8q4p8/+Q/AAAA//8=</cx:binary>
              </cx:geoCache>
            </cx:geography>
          </cx:layoutPr>
          <cx:valueColors>
            <cx:minColor>
              <a:schemeClr val="accent6">
                <a:lumMod val="20000"/>
                <a:lumOff val="80000"/>
              </a:schemeClr>
            </cx:minColor>
            <cx:midColor>
              <a:schemeClr val="accent4"/>
            </cx:midColor>
            <cx:maxColor>
              <a:schemeClr val="accent6">
                <a:lumMod val="75000"/>
              </a:schemeClr>
            </cx:maxColor>
          </cx:valueColors>
          <cx:valueColorPositions count="3"/>
        </cx:series>
      </cx:plotAreaRegion>
    </cx:plotArea>
    <cx:legend pos="r" align="min" overlay="0">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legend>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olorStr">
        <cx:f>_xlchart.v5.7</cx:f>
        <cx:nf>_xlchart.v5.6</cx:nf>
      </cx:strDim>
      <cx:strDim type="cat">
        <cx:f>_xlchart.v5.5</cx:f>
        <cx:nf>_xlchart.v5.4</cx:nf>
      </cx:strDim>
    </cx:data>
  </cx:chartData>
  <cx:chart>
    <cx:plotArea>
      <cx:plotAreaRegion>
        <cx:series layoutId="regionMap" uniqueId="{EDBF0425-BB13-4354-903F-3DBA29F7371C}">
          <cx:tx>
            <cx:txData>
              <cx:f>_xlchart.v5.6</cx:f>
              <cx:v>AAR pēc reformas</cx:v>
            </cx:txData>
          </cx:tx>
          <cx:spPr>
            <a:solidFill>
              <a:schemeClr val="accent2"/>
            </a:solidFill>
          </cx:spPr>
          <cx:dataId val="0"/>
          <cx:layoutPr>
            <cx:regionLabelLayout val="none"/>
            <cx:geography cultureLanguage="en-US" cultureRegion="LV" attribution="Powered by Bing">
              <cx:geoCache provider="{E9337A44-BEBE-4D9F-B70C-5C5E7DAFC167}">
                <cx:binary>7H3LctxIku2vlGl9wYoXEBFtU23WASCTZCbfpChqA0uRFBB4PwLP1fTm/sB8wV33/q7G7kr9X9eT
ZIpkiqoplYY2NrQxKysZAQQykAfufvy4R+S/XA9/uU5vV/UvQ5bmzV+uh9/eRcaUf/n11+Y6us1W
zU6mr+uiKT6bnesi+7X4/Flf3/56U696nYe/EoTZr9fRqja3w7u//gvcLbwtlsX1yugiP2lv6/H0
tmlT0/zOuRdP/XJdtLlZDw/hTr+9W65Mp1fvflndZDr3dGNqfW3wb+8WbXrz5R/hqvklL7rVTfPu
l9vcaDOej+Xtb++eXf3ul1+3P+qbaf2SwsxNewNjbWdHCNumhHKJbUQlfvdLWuThw2mCd6SNhSOl
w2z4H5Kbjz5cZTB8PTEdwoy/P5+72axuburbpoEHu/v3ycBnk39y/DvfjG4K9/47c4v1/Jfv7x74
1+eY/PVftg7AV7B15Als29/Xf3Tqj6J2uobs976aH4ZKci4kdxhDjEgHsHgKFdvBhAgkmO0wgoQU
m4++h+r0T+F0P2oLpPuDbwAhtUq79j/fpvgOsglYEycOxYLaW0DxHSooY9K2GWP07vS9+dwDtZ6U
3mD3koW/bFEPw7agejj6BrD6m56SetUm6e2reEGbSI4dJjH4OoK3ELN3KMMO5rZgYGI2djbw3CP2
OLXN8T8O29OxW9g9PfUWAEz/+Y+kyV8DPr7DMCaMMio4QRzR556R72CbIsoIRgSBWW55xr+l7Xpe
fwK7zcBt4DbH3wBqatU2yesQD8Y5I4JRh3AJ1vccM7ZDucOp7QCiti3WPvS5k1xPa3Psj5vb/eNs
Mazf3m0OvwHA/taG//w/N6s2XHWvAZu9IxkwDIwQc6hwOHkOm7MDcY1jKZF0HH7HUZ7C5t3Nq9Tp
71LYlwPc07FbBvf01BuA0Cs+3b5WmFtHOIQQdRzwhlthju5gyiHEYb7mJ5yAST4D725am2N/3Obu
H+cbm9scfgOAffnXm9U//9+rMEmIa9gm6C73otx+bm3gJKmDmMDEIQ9x7ylg99PSvxy0ub7W5SqF
lPHH4Xv5LlsW+PJFbwDaMx1CjvsanhRYCeFAKRFxMKGIfRMABVAVDl6UUIcSAYn5U2wf5vWT2L58
ly1sX77oLWC7alPIKRrzKpYLWQSyBURCxu9ThufJuk1szBwG/Gdt1c+g3UzrZy337Hs32gb4e9e9
AYzdL//WvAq8WILWYkO4lOChtyOpDQmJEAI4EnHuQH6OsHvb6D/BgB6GbaH3cPQNYPWUxt0bxEsk
4wdVM3tHSEQFczgDQYY4kLs/NURnx2YYpE8hKegxjtjKDf/YlP4rCetz5fOptPs/VP1Rmn8tjXfZ
3kyvQQ7gtcTADASxJZAEYOPP31q+I0BZlFTeCb0gezz3L3ez2hx6yYZefmEfhm35l4ejb8G/6Nu8
0zdJW0+32WvoUIAaERzZNiS+hAoCsDz1NXgH6iug91IiyZrUgUz1NO7P6+KT/uf//hOqxuPILewe
T7wB+E6L8nWyLGdHCogMErCDSP5ClgVEHEOaxaljQwjZSovvp/WzXO3lu2zB+fJFbwDaeZt+un0l
aRgLzAh4y6864lOTBIuF1BpzkLOoZDbdyrIe5rWx0z/uSr8O3ELw6/E3ANp7cF7NWst7jQoaBaVe
QubEbSh42lukDe8IBzMBqgciEAPtrfD3OLGfUz6+d58tTL932RuA+Mv/vU1eR0d2doDWQLlGQqV6
zby/UT+IhLYDECOhMHdf634aKh/m9ZPqx8t32UL35YveALb7t+kr1QjWThWUZHC4giIot4FTfepz
6Q5U6KgjMUMO2dI+Hib1k8C+fJctYF++6A0Ae7ZKb9pXcMrODgiVAoFfhoh6Hyufwkp2oKcBCq0S
QbvUWtjaRM37Ivn9rDbH/ngk3YzbQm9z+A3gtf/l35LVp9cJpM4OdQQQHArV74fOhaeYgTgiBCSY
yIaWFLDVrUD6ZGY/F0m/e6MtVL973RuA+fTLv023ye/3GfygtrVWCcCHIow58Nut4hC0GVG51p+h
CQkjakOl9mkIPb39D2fzskrwdeAWdl+PvwGsDr78vW7L15EI1h1868LAfT/llrBDd9aZKIY8kwPB
/UbYeZjXT4bHl++yBefLF70BbPf/+Y86W6W/K7P8sB0CmgwaMzmCf77RmOmOA00TnMIJB2Hb2bLE
/fY/nM/Llvh14BZ0X4+/AbQW9Ze/N+lr5SCIQOYhQIpDdC39POep0FVGmURQx8P4oVviqQNdQOVw
PbGNW/3jlOZx5BZwjyfeAHJLfVt++Xv8u9/PD9sZ9INBxviYOzwlM3gHMZtJaJGGtrJ7OJ/itZ7P
6ven87KZfR24hdbX428CrOzT64irfMcBGgJl0rV+CgXRLSNjO1CY40TQl+tvSw3zmvSP29jXgd+A
9nDDNwDa+1Wa6VtwQ68hwEHbCeRxUGayX1hrAA3RzrpVDOQbWDMCFHQD0H2ut5nY5ugfd42PI7dw
ezzxBoBbfvlH9+Xv+Sv0JUC+xzFghhBhbC2wPA9pcBocJPQtQI8mAU+61cj+MK+frWV85zZbiH7n
qjcA7ybTewW7hIwP+tsRqOJCcEfa33S6E0zhKIKiB/hcvl2qekhBfzJ/2Dzf1m228P3OVW8A34PV
TZG/hteFxXignGLJoOVTQAVkC11nB4wailXQVQQNK3ennxKc+2n9uM/djNvCb3P4DQB2FMLqw//8
IAk1DNDWbDDGux6NdRfGUz7KdsDVAkoUKowvwLWe1I+DdT9qC6r7g28BqHSlX6UMvC432bCUlQrI
EKAvb6vcRKEDAIB0kECU3DeJPbWso7tpbbm7+wv+OLV58SbbQL70QW8A1/NV+jpdmBTYqQNcBhY0
YGiSfm6AZAfMznYoAzbkAOfZqjWtJ/UnMouHYVvIPRx9A1gd17f6y7+/CjddN0dBFyb00rBvF1mC
iQKWsOoLShUPLW9PbXA9rfRPwLUZt4XX5vAbAAxSo1dZocd3OHANqOlBiYgSqB89t651e6kNy09g
hTNf05FNLPuaAv6Z9Xl3z/LNUqGHo28Aq/M2abPVa1CRNRiQ+EGvqFgvF3mOFd0BIsIFAmcIHhOM
7zlYd7P6Ew3pm3FbtrU5/AbwgjLz6pV6nIDsw3YOiAOh/7Z4Byu7bAxLKGGFgcTrmsFzwB6n9XN1
2e/dZwvQ7132FgDOdGpeq/WQQV0d9DF7veYcr1tdnqYHDqz/YjZ0JjqwCBrz9QLop/Hu7GFiP8k6
v3ObbYBf/rA3gO/7Vb1Kvvz7a6ltDpFSQqMT7A9xv9r5OcJAStcWzqGoS+66GJ8i/Di1nxXcvn+n
LZy/f+FbgBq+3DtfvTGkl3KzH6w4QQ0QQX1ivafENwaMd2AltUCw1J2TOx1887kPDOiPTOflitPX
jtJvmdDjTf8bInb/9t/D8mz6f2LXKptB24sNG0S80IoGygvhCKIngn0lvt2vZbPN1ven8zIsm3HP
pv64a9fr7E31/X2rvu7r5a3Myr/bEOzJ1lW/f/buAWEXs62hDxHoRcO5/7b2bn57Z3HoK4LuXUyB
lnzdbmx9q+cR7Ct3eomkfHOjW1iI+9s7wqCniYNIA6tj131p65a0/vbhDKyoFTbo2tBlActrQB3N
i9pEd7uYScJg/x4JZUYIp+tdzJqifTgFSipBsIzaAUteb+2zefbjIh3DIv/6RT38/UveZseFBl8C
s6Ho3S/l/XXrCa/dAF9vBQTToDasz1p3VZXXq1PYJg4ux//LFuWUJHqkHmhMrWomXKqpr7SXxl01
11FC3nPbWo5NRU5sJ+j8LpqImir7tJim/IqUvTmtgkpFcVW5WdxetFN9kPbBrkiyhR1HR8Qarhqn
uBlZGKqwRIcJDT9YibXMC+TmhTXTuV52muyakh0SgzM3H4VroW4PoVJJduPgYQ+Z+owxUbiNPS2H
oZhNRiwFfHQrmz3ehnOSW24Vkt0yHhUpHTcKOGxH98kOGjXq/TopfVQFKibLygm8aUwTJct4bo/y
tHf6mRjDkyE9q+NIdT3e58M4H6drkefLtA/3+xJfTHl9bppQsfqgIdNVmwk/KpcJOrTNTV6uUIrd
drqkEfOs1FISd8ekTZAKMJ/8nvZXLQtdEsnBdUwyzfOx9PoIL0Bj2jU2dwW9KvC5jQ+bhHkh7ZZB
go/SotDe1BEP9XzmjMadZOKzolBhqy9zylVaJYoPsWqRo5xI7spSqqLifpKyhdYcHqVVCZeKiFQZ
4rjdyI8zekD70AsDtOjDYL/q0nnZcWvXRGLaHccEvq4ENwdF3g2JQiZtZ2FVpKodnFpZ4eD3nVaC
6XNHf2y60RXOoAo8HcVptSvTcq+SRkVULxxzVvfhHrGoarLkgCbJMuT5cVLWi6iPVFRVKm+nSqWo
TVWi011LVlcynqWI7UYlS/w67JsjJ5myQmHceE3yuclSPyIHZWy8xFpZSbvHwuMwGpc8CD9EHZrV
GTxunt5UGfczg65HzPeC5lJEWXBUVzelNSjMmqXU9Wyo2ELK3uv7aV/T7iLTVGXMcgNthhkuzSoq
zHg4jgsRTPMhzbNZFsoPacXVQMpPeVBmqhfwTTCZuAkhhyEt51Z+aDXxoGpyYZj4jNvkCgcjngnT
ZL7lhKmaCiTVME69Ym3XeWyQHiiBHpm0cmKzQEG1Sqq0n2VjNqqm6uScFOgAUeONVdyqHrF5LeFl
lmWqnm4i+MwtXBflWOswetjb8euffz0vMvjvblfBx4PrrSEf/7rUiS5vb/Rq+6q1S/962ePWhGsH
+nWfwi3HfL/B5MZz/cjJH3PpsJT991z6y9t8fBsZ7m7z6NChXolgQSSksfzObT86dNhqBoKJw2EL
So7Ba28cOmyOIWHMQ5HzjnptHDrsrgeNdFD9vN/yBJMfcuhrZWTLocOOb+DPbdhG5W4bzOcOvQ+p
6LOkZl7FQy/AhW87zmLoKrcsQpfajYKSwSyWgUrSzwxdyzpw4yhXSXmLrcINqtRNDfKHGM3zrppZ
HCtjezm9GYvjoQ9qV2S5R7PGHUW6MEXv12OyrOhV5sQuj7JKdbxLvaKXlybuG2XnaL/op0XcxQdW
YPxugEhDJxXWo5ps4fM43Sdpvo9557eyzfzGAcumodu18e5k6Kqk8axKj2OE/SbIZhwlnp1T19bJ
IZbhgnWFH6Xcz8fWq8eucEU+uWM8zQbau+GAPjhGuzSaTzVWtAzdHpdeO4b7ppln8nCqcje2T+PQ
3mvTXdl0yuRXYcZcmtmuyeh03Ftg/U2hrypk7UXJlV0OfsfEaRTI/XaKDmFXL59kqXVh8jTJ/aoS
yzaIlFN0LmwnNUOlnOVhOQ+cygvKWcC5FwfHSOp5ZLhL6o9FkC86Ep1w2aushABsFR4Nlq32ehge
MKIyGamk3R8i+yROHDeHB65qplCp5yRCfgNuL8RmMZSXQdp4Oedu2RE31pd2vqeL2HN0qgqaeQGV
Kp+q2ZBXLumWgq+yVqhYhIBkDrifhLLwsriJFSEYHiCYV9F7OtWzKT7I+M3Q8YMQt/MB/J62pAqG
4ZwGtl9aDKYazEM5qqiEaRMf2ZXX62QmhTnqkmmGssOaNbO2uQ6KyjeUzVgF/qzJQwBAFIcFC23f
QeG0i3XE52PauQhX4GsPqEEqtMbjSha7wJ0teCswdSMchV4DvvCUBUkN4cSU45kIQnFKW7u9xWFx
UVnD4Ti0RnHdeiyuV05cC6VZNHnC1gd2MvgOjmdREniMrgIr3ivSYG8aOlWUuS+iUxSSGU/O0mox
Zp2jRM/0vIZehdiraSy8ss47l1c3Ub3CVqiSuq4umdUd8qaeFJZ0HgWJO0Z4xTXonP/jrkEShHZV
Bxjw9+n3g2j+6JwfBz145rtmIcijEDSSwLqe9b6ID54Z9i8B8s3A/UJ3F9B80KYePTNQbdj/DRZ4
wf4DIDo/Um1IlteJAbSEYfDz6y2LNgHrWUyFtOPh76dUmznfUG0CPUrr+ABc34GWJkg2nlJt08gu
kw2zvCatrcwNWXs7oMh1hrIEcqVP0qnyrcQsp8gsLD18rOLuJB/GBbfjo6zpFm2R7evY2eUEe2OZ
nBbI+jgVwz4L0wUxoY+b/oAPQ66yJiYuTW1logboPO3fW2EolN2Vc01N7gJ1127X53at2jD9UCC+
4oaeWqV9K0K5EgSMqgyLM9PSE03gldfTborkHs4jvx70oZNCDlDRdjlw7HM8nNlx6pGxm5GimJVa
qjBlxyTUBwXktGoKBw7E1TkvKJ3pGs1kyg8TlHopLg9pLQ5TnSzaMbH9ISnOLKc/oG26kkV/Suzx
TJLuqpqKmcO706KRfiOtRVOWS5qNBwa8bI2p3iNd7YVcrkjX5DMZAZFkw3saOJ4Uk9ei2HLLHgtV
he2sECYHG8btPmCk7IkfWQWkT/m0gprsklZAupspOQhYdFa0EE8slGaKar0a6sTFYnLznkaQVAxo
2Wd57lWN6DyR89anrBEz2+L8spMQPoqkdZRB1uCyqia3fYjFRTMQn4pmF8XBx5DXzgwW8TOVFWSE
mMVzHzUm8oBf3gDzJQoF9jwcs4+RQw+CaRLAIIujAUnLzbKcqNF0B7RG1VLYeevnNl/FESQfUxPt
WTWv9m1nqHYRio3b51HsxmlXeRCbxYLnkh00ohg+yd6yjkxhrXBEh1lWmtvaCj/FCT2K9FirSaBl
UCSXjUH5sujypFRYWIlwp6powIHLadGjgey2NNprqDRAJNiSTo6qM3ZV2E7iZaQ0fkMhkFLaVMfd
WEu3SXEKPFg2XmeJMwyR0TKTC3w8Uy2JF/E0GRXKJFIDEC2XhyXcoL5sksofTUndKQxiP8HJKYOg
QGiMZoXdWcrJCpfkjoL3hahiIhfcGmrV0Kjyp4jU/hhCOEkZxNx0aTpnPmTOXhyPgcqC4H3Rl7sN
Hc6nIl6YuitUkgVuZvGDsRAKOkdVCAhFid7rpuKwLZqjIW1mILP5ceW4GhfLXDbHQdudRqUolUjp
cRgm5xPE0or1VAlhndU4wAvHiQ/6Ql/ytr2x4KmUlOYCWo1L1dKOQcaatYcksio1FpADRE3dqyCG
d0l0ebTLreYDKtmnRkahkrZp99OpYK6T2oFnj9ZF0kZnpofXpItry8+m5BNDwQGO8KwJ2Xnp4FqZ
TEJuPQUXk93mflgWbAnZcjVzcAG5bSXbPdhfOle4KRtVWHTmZNHgwntzltntUUqGT2zoLvsh7m4S
1t5QNN6KJEjmCUqqwzGOz4KUlMDA8mYPKGXh8iBpvVDWkPjHPAUaxa5gm+/zAJZJe2UgVk1c01SV
U4h8llu1IiYuPTrS0WddcCLy7EZyuwz9tCkvmmxq3ZK0uwlt5GcUo4N0wrtVOLp1x1olptAoXdEP
XZcchBG/5rEdqsqho6LEXgEBZ8pY+rrvsg5sGpKwVAazjOIr2CO+d7Mg/AwG4kcy/WByp4GIbpcq
cbrLnIcX8J4cE91NbhXL08huFoUlIT3umB+jolZRHVmqn3qhHPh6dEu9Psw7JbvEt6am9Tptjtuk
vqmTsFdFbJWq6eWpMdPM6CD1HJTHKtS9N8YsV3oMTlMU517Yg6xCZGnNddcfJEl3zRNxxCp9rEd8
nOku3BVBdcwm/lHkze5498aGn60RfTAovbCG5NIZ83lWhLGy7cbrbXRuypQrgnPm6xxlKq3bMyfI
FqNuGy8pUuESal3kNI9cEAUy1Q0wFoQz6WEjOgV1v5vAEhCDLNAJKD2I29KoNkYGQkueeqLtBjVQ
eVHUkix00V4Erbwu4uCEw3LNebV+WOD514EVDIpkHTx1qT8UgxlVuX5dQhkvWZBZ85IU+1HvHLMk
Ox+p3C1IB8yYN6DgcOJPJPqchvZtRtCyLVHoctJbh6ZJz2SSaTfIHFWMtD+OenNeS7uZ46pvPJky
e78c09MmsC8Lal/1jMQu5T33bDTEbs6nkwwiqMIdNUswg0bleXyShAkFhYUMqkJd6bMQAiqz4mU/
snh/HGgFGg+kC6HYw5iuQmldxzFoNEKjCyt13DHPPslU74JmtXAG+2wourNXyd3nt8VaxW/+G6Tu
97SOQ/L8fS74bEOotZD5OOiBCwroLV3vTQTNOY6835T+gQvCOtL7PQo3DHBduIYWVdBB5d329bCE
cZObQ02T2nAWtkh/WOn2AwwQ+vO2cnPYHh8q5BSWaMEe0bBJJnzSUwZo5USLeooiP+7AQZTNtFty
fhP0JcQu05l923LAP+ejR9lUgzDGEehJIyR8GIzFYfEywgHQgATVqgoa20OgKSqmbQbmFHzotXjf
6zFRU5QdSs0/N7W9aGHxu9uEqPUcOeY+TzHcM56Ya6DjWhVOWRzbZRmqcsgXqJyQ31aJVyZ5kqvK
Kq4yXEBGW+tyr6utAyziYL8Y7HaRSIhNZoKgZWXjoEptx7EqHQ0+t+vOhEHLspfxTRaQWvVlXvjc
sNarpvFTM3YHbYes3bTojpghi37oDpsxKnazgnEPTQ1oyIVUdi0D8NQwjwTzs6ZCIEY45qQC2dOr
0rhSIuv2bcOkp1uD5yB7ZHs2KkGnjCYGtpsewHdV+E2JB2WLNFDcxonKxvhTV9TtYdEj7NFqWAXA
DmsNOupUiI9BOmQqS8b3ApeJB81drsW61CdFni6jmncnFMVsL0IsU6hvkEuAeaqhmo4sDrpmVvc9
Vy2GPTqrCpJoe6KdB2T2op+cwwh0XL+LQ9AOEyv3mbT8Me+1ilMLe1roWxo10rUGeaxJNSo+Dsyv
rPjcbsfMz+B3VHxNgfU5uhmBmoyHQwWvUNDzzDesMTMUJMeah52fZaHxMmD3SsTjp5HaczRRpjSy
E5UO+WXPJAi6qIdXSAwnxYhAaAeC3gl9HNVCAh+qqarrOnRxDfIuMc0yMOM80NNyKpvE6xLLeMAg
iTtYEPLDqhpdGejWHaZ236lyeBm4jA8r3h0mMSlBEKeDN4kIZs3Ko9Kk5ihDyVEs0Rx1xCgZtcFM
4jaa27Eg8yKVH0aq5zJDJUhW7YVuIBvJoooovA7b0RCd9CHowlltVlNSXlW9PBRTg1U1BUDUcAw1
ip4UKrXg1RtrcZDrcLjiNVI6K3edMGezCmVX49inSth9N7PqBCtSlJdmGPtZbiCXKURwCb9dAkWC
KHQneG1iGmm3B1VG4hRiI7xlJR1BL2j2cgLGY7HoJB7SGQ3M5YjrRZzo/WCoPw9O2qkIzn4Iqu49
CyG5GJLsDDYBOupL51yETquCPPanAmOflLaHdRKfkyG39uwYu2MAolUD1QmP0+xDNYglENvjYkqx
ElTvFzxVUYTO4nEIVFEYP6DjkmpzkUOpEXSf0s97kn4MWeUOFSjrKR4aV8ZltttaWek2rQWRfwSh
y2nOOgxhLDX9bT7iQoESdmngY1Gb0Dn8xM9hkfSJ63TJPB2jXVJOH6O0+JCz6GMlzFrGDwIvs9gJ
vAKlKuoEiIshmZKZuY2ZPLVkbuZB06R+ynE0DxHo/1mBbuqeLmJtgTsc2VE0GOFlo56O6truVQ4s
xYW773XGRsqyQAHXQwjmggeuRN4ubMeyVBnXk9vzpPC6GNynAcWxajJ9GDvRNKvqpna1TPbQMPgI
ahG8ogdDTRuFbLMwfIpVHsSeiHXmBqkBpl91B9B2NhdWfFREYQkvGw1VUDdeGml/HKbztIwPZc68
EZm9Ju6vwXODRCr9Ie8XZVRFkPWFkZKxhLJKu1eNI3eR3fqypsNuW7d6PiIo7UAlcrhyRJkt41Aw
186beT5ZpVeFeNllA1Kg4M1Dpz+zqK4Vje3+rBTjAhzboU2qo8kZr6eRHqatBrmUJyqSBN7ljhKV
RM2tXYpa4UDfjml2CKoY6AGiPByjkqu4sKA0lB/zSXsBp51bVk6hgnH8bDIGTNogqsBPaa8y/aVd
A7PHkZtgAa7ZdlQSBOUuL7mlUjNk78OmO7JNN88beSqs7rOTk49hVN/ENMvcInQuJVReZMT2nDb7
zIV10VpJPmul3HfG7ERn9ScRmxJehDzaqxFkHN3UWT4U4Ro3SMZ4hrQ2Xgk6u++EDO1aOPpcjOCb
dGJlfo0mpLJpOAPv4sL7ha+gjlosbWxmpZPLfYHMYRyVBw3NMCgA6KBh5HOc98I3KTriY3Het+M5
8PBc5UKsxMTRvuGBtYtjdgkOmsG7jy85bg6TEJ1LYc0TsMpdg5zrjASZSobKdxIyB4d+qaco8bOY
nUW4XZAw4OBxQSKsxswVTZarAXX7xr5iVbAHVh+peLIhMeTArVExHA4MvoSg1xdB3lGVJHwFHOIM
U3SUWsV7KCnNQSDy7b7ei7N2PwmBu6P0ukJQRnSGHvJd4TdRnaupRB8NeGjVOAOoP0a6CI25a9Js
vzLhwWBP+dyQctmVkFckdv6xbODVyOPKLEUWLTMNQnkeBi5vqjnrIHWN6jJ2yTg17qC7j0Mjz7VO
/WK0563sTrOYaleIvvaSvEn2KsYPyrLALs6zeW9ypEB6+Wgb8CrJWNFdHfe34GvAfuu4cpuu+2RG
CtGumHVJhBTn1hn0xZ+OQXtkMGioyBml6zCo8Mb7nCcuKt6nw6D62po5DU1dJIajKerYnKUQeE3U
f7KaIYTiA9AIrOcYZchr4OFU34UOpPAFlAsTpto+69287APfnlCqYgteiGiK3keVM7lh29gKcqpk
lmXa9kJdQjYhyuXEJuLaErW7rU5uLCn8tqyQT1iZL2uefx6sdhlCrzcEaOwbO7+sw+B9XJFGBSk2
Hiwk7hQzIG84wIO6tr9kY3lAi7WrLJLSS0rnIOr0J+A7k5e2ReTm62woMmRm1/0n3sv9Ag3nHZQi
FMNlflLWEnSOsGo9u8jKPYSD3i1ob/ZiCYUca+D6RIcJn9VWqUEBSStPjyD/pZGAam0RpIoaOvms
yZdBl6E/IU4fbH58bjvbeFon/E7F8b+ulnj99LfrNq1Pd7kF+90a4qaL5okwvR7wJA8hUC7E0DTH
oMz3VZJGO9KB5VTrXxeBRue7xW+bhETsIAGdGtCGdd+H9aT7w96Be0ATrQ2N7PeNIT+QkMCmSdua
NIMN6UBEoQKacylMZUuTRklsRmhDcbyOTfMob8tFbaWxakg6+BY14QJoY7iwEEieWbk/yZORph40
C7ipmON6dAOzV7d7wViemiCAUGn7dp5Us7wRFvCFTomiISpucqGaXKtEdpEKp9bxcWsRt02r1sXy
/3N0Xstx41AQ/SJUMYHhlXGiNMqSX1CSZTGAABhBgF+/rX1R7XpXtjxD4vbtPs0h4clpnsUgbn3f
u68i9O4D+DrQXe/7LL080H5d8nXr0na9WFI0FJs1W535bFf/rW93J+vr5jAPEL5kTUdLk6qX8tY0
cWp7fzmPnX+NOHlyTfjWe+AO9BSDE+HUvVpnu2h8mlIeJOwckhGzornKGhs8fEnXqKDE7H6PQjKX
1Hpw25y1WKY4m32ZC5V8yVZ97uJz7/zvOljKAB/350+wCPy2XIh+CafhGGy2Bfzh02wjvHTq/qEN
/LswlPDA+n/C/TC932VDsmvcojSzCrve3LPPuhnO4fDVQOavhN1Byj0oSB6/2Y8wO/J5eIuipvSc
GeGBl/MoLsfAr+Rk8ti1VbiYzN/JVQWqqFuc9JvwL7OL9WZC2gbwJg9UfXAFq5LwhYyRKUYbw7nl
XS7msOpoCOWjv+a67LnItnDCPB4VtrulShzxOsrltbvEnfOvjdTt90WeAL9gxfxaEpovjT2tyDul
a85aegW3SMWiJiV++KWd5jBG/aHbzpEOrkFLkB/CvGtM9NaT5AgCuVpac9C+ny2Bd5wi/0F30e9a
5+dxwDIloorgqgvSncUH1mKj8sPdO/X4n+J14UUsl2xx9WW0MP2inT7yt0S+jC7PdySCTXfrozqr
Y3GuccprD79RH5Jjy+UxESJtpKlU8F53AYCRbbeFtmHWQWWRVn720V5GDTV5Z5PnsJ+88+CTUnhR
nLeL/tW+7lkHwYvW7WlHxD7cCe6l67z8BRuQR5HFRvLJHefIjf6eXmpVn5fZPA9Ol6sxhqPUqJwM
kqTad+Yy3Lt76qw/jKgi4DAZFVOpFypTLDM2p6lvK7+JH9hC+zSonTZr6p3nsoET3zv8vTGGZ5Mb
/JmpSwui4VnWu3PRZmwqQIhO1tJ2yEQcDeWiJFIVL5VbpQeZGQQbCJucdci2Seca1MCqP336R7Jc
s6923iol+u6om6i9c6i4CMRrxy1ROhWrtg9yTKajIxdY9+vY56xnv+GRKBEWXJ0ZYFQPYCmf3XW6
i/r2Bet08Iy1NXha1d0Srcs5afTDQljqTFOmEWBvTja4j0nRG543I76f/9ndC7iyc0P42axY8Rv+
vK6Qr7r5q9Vj41wXCA0JDUYTfuZBeAigxWOW7XKHo2Be6hm2ZcNTG7WIUn5GeC0OJEEIhqdZbRHq
FwpxSLs93dz+MpMhmzbvbsF7D0g63WVWe++bmxTWA7xQLLWtROQ8aW3yHgKL0k/mTOXae5nH/0qp
jvG4p8OKVMdTBQtYHsciJQ4ORwE0KGQ3PV/DATiFaqsY8Ti859RMJFvFkzuCQsKOoKMp76OumL0H
I9/DbcAV8MdHCIKUPNoBGOjnZT8PnGVQjrCmIf6d2y4f5oeZjZXTN1iQYkiIF0J17oVgMO5Q2ij1
7/rjkipqnEq4WBC2CXLiPvGbjCCi8OePxri41+wD3qasXWC/4Odra3+ppH/YsS62w0PjxDcFYG93
s6YVcD5+84tazDgK5JsczbMKnYxGpjScl9Pi56SeysElGfXa1Ce2y5ckeLVdXzoyPpmuhzLN254V
rLavwj3oESZC+DMH+kRAGuzzDDN+OJoFyyN04SzfsXYWdnprwyvkbNrhP5hSkq6cQGvZtr+L47Yw
cVtttn6tt/bGTXLs52L1Ty3/O2IviOpi72glKM2EJWAl3BTaMpvbJNPTnGEuZm08ptEMBW68tJZ9
tqhjv5wQgRS/cM0o3ra4fVosvDqvz3ev/hDrpxixpQvvGIaiTmMX0lYj5AguIMrGWlW61ZCbUeG4
WJ5+RiyMu/2Zl+7vyLvUmrDaoObc6HkC9LIYAIqJ9zBpNzWwQLTnZnjjU8pVivNkhsTkEUQuTpNA
/Oz+jglAQabZEV4OkqV5vjbdmsdOdxxn9dBtJDdNXtsQl1VFF6vS3Ut+Otp//P9ryZ6BmrTl2o23
ULtlcDftLRS8Q5bUsWzIRgafRQRxl43+6JVIEDJvM3ilmle9+yDVpoOdepxBPD4sIBidmj/RnlVE
8LsN9osJ/zD3g7n3RmypJ7+WBVIVM3iH+bn4YHnWr7l9lQsCx61OqYeTFM4Azo7UWwf56/Ck47Kk
W5Sp7knLNU84vUzeowi3XPSvYfeOO6gIZ8Q5y351hrI1R5c1x3qzcOnUF2+GisqlFAnc0QjBWfvK
FnFRLUDH1kvNJisbs4umH5EwmXDw0mIfd1YEvoXUiLkned+CmdzdBjxMmxIRYs71/GAjcZqMfxo8
RF/gXhk/7P5crctQinC5d2yQw98r4vA8k29EFCAiMbLoP4kjT7W0jGe/NNMCKWHfxSJhAk9pgJ0g
wT3tglcdEJ0IgzRiypUzHjDeq7VTlTXDoZ/DEmsFJBtiQzUchadhhOJtcyb+xfxKj/qDLkku92jM
lJkPtU4elXFBxmIGCQzGXWfwmy+dAj8gkp86sAfGnjrZ5Io6eSi8xyvZELQMQfg0s+SzsdtzKLuv
bcUF3rhjCX42a/CZAVfBk2qLyJgF8qmPcaEijDI4OgVHgu38gY6BkGRd3WRmXnAM6PUGn00XSuGI
3oI1iwj9tRLqUzRqnsrvvTPffRLUJdX0ZayDG0vG3OAKiB17EDswTsLoqdfmssoQ7o6rH+t2z9y5
aiyM8rq+9NHUFv0Qv5OhA8oah4cJiEBt6rzdCC6K9mmN5ZgCLP3u9Vxnyfqr5mKKpPbF68Z7qMdD
Le1j5DSXoE+ejOtm2mzZlGwlb7vzitNx13ejc1587wem9PcidRHNW7ZO9jRt5HuCr7QPHNbLjPNj
xHGwntVgQCfF78G2QeIgdz8tsHqGsAgbJVPNVDV3f2nn54nsy8jCCo3Ht5B/r9o/+IigF2Yybyap
jSnUMn6D1RQrrTPVnwMLq3qdM90o/PXgn4p7Y79IO6S2eegt0DQ5nNegvwzalCsZ7vFAwAbULkY5
7FRkxhofnZjHgn6w5Ecl6jL002HjbbEAfoYLJuycdw2uDYCCtZzOZH9tG5j6+KU9xJE1DAcc0rgL
5l8bKk34nkbMvwKKzgT+AjHPjDdUI5iqUT15iX9QxLxG0IcsYmDD4bTFaQRfwWzdtfHDbH0dmzjT
yXfbq6rbtnS222EfnVPtAJgJ4asPuGyevZgfzNgfmWtLwLyHHm+jiEVmtcYk7p9DnBsW11xLP5WE
c6OOe4DT1QUzAu2dyr7P+W7OInrq1SGKn3fkEBa+WuLJDLZDRm0Am/k3OVDPLaJAfGPZq/AhxO2f
smAqt8hmwxpkg7PkYzC8b5TkrP6L2/REAKvPe5etG1wtyPjGXx6SFfqBBUfpDvQ4iuHec1YwGx7/
xzc/72LzKHya1huGCWxsOJhQMdSa3O9InRECRG2dI/6wtqBw2pC3vwgEtAW6s6ewJ+96QPQOPLPA
gL+N1n/qwiFnjK4pcQ0uxf4lhuPDZkiRv0vQw1m7rzmieQ3pFXplAG8oSQhIO2D17NVfIUWhrVXz
HZod0Pn6K3ISM+LEBtSP1w5HZ2b9Bxog1d28rCHfkr8s0ZK6QwN6pCt33hyd+Bjg4uWYXnisYZM6
9eeyRFAagOCtC/f44I2P3JwW7Rf4mPCMDYDbA3ulwaVbYdnLc6Liu3C8jQ4/Emshuoas3dXjBo+D
RCzjC6QLP5otSbmzXnG1F0riToloNocUUbyXJ3bL2A58ymJnA4Jq2MtodLmDDucdyHysuJ5bZ80u
76N5zVqA5nu7XMUVbCOGJQYL5hBrD05Yn43ztoS/4vew7csnt306s/XYWvNYU/dCh5+6g9PHThpq
Q2GoLTgstPzpP3fcmy3+gnv3bFh98GlTNZ1IByXyScZ388CudQLsHSunp2HjLwc3xu3U0fNcq8wN
SSYhUsR+imCo995rG7YHHr25WJZ69iWQoy1cH1xFX4ADnbDU5J4C7sDLVvV3jayLSD66wDEQtMSj
ygb/7yTBCSSf0j1bFlcibXvo/nIvuf+MUvatEy5y/6PTcuybt1W/DtBglF44KgnthCCCvuu6KfYQ
E7tDHrngVWUiW4MYtmCXijCLgeOb5VlDNjvdnNY4KmbyRG2fbRv24MErXcszDcurn5PU6d/2kWMo
x7nbY6SaD0J6rKf3Fu9PF9XlDtc+YEm5oPuh5g3bUl1Oja4GR1SIgISTfGlw9l0f5VbuBZeHDvLK
s9eB11mI7oWds8BH7ecr5OCe3G/0tEoieebPh3afqqhtj0jryj3qC5rU18nbsniBXase220992FB
1XraaZLGHnj9fYFpu2fh/hlBwntoh8xGVCEEViTFoWkNlOSQLQu2nnm+hAmEIY4de4nlI20JEBeZ
hoiVguQ2TVE+ev6dSyGqSX+XNMnHCnTDMI6RDFMPssOCKIHne+fZqfzlYVe1Hvd1Lf3+1Qt+pn6/
WhGkPp+qofHzNlAQW+jcrBtDpIXYaFHd0Uum+041spxGlvuafNGufejJUBmGU3IjNGc0AOxBCCta
ET9ZYIEglSoz6reI4iwY8Qr2CKSGbh+zbdgepqjecq9LvHxbyL1ddek4418RvbTyt3ASJ4VyBfgK
do7JCH3ovLDe5iGlFTj0wqzixPyfaVMphGk5R+tDlyy3CYIz6WIwybwikz1spt+zGVRceAG2g8EJ
+x+HXxDPVd1iv9sSjBZyGMP11zZ4sJg+0xZUC4f+tvIBfllq/87LcYfv4mO7mhGddgp5Hk5n5f6N
6Yop1Z98C3Eoh2ONVyhNzMeGs9Wr41xhR0jo2UWStO9//T4udipOYFgwOz8Nrg0Hr9sgzwvW+pqZ
fEA6Ovn+nUPEG86EdLJHr4n/KTVXWzDmNIF71WlUUASaP8CdZnFuagTMy5qRgReLhxTM20+2b+6Y
fQ+16hCagM6X7+jqYOcZwBRsqQ66so5oUfv2eRfxsfGnIgB7E9PnPl4r8Knptn0kAQKib+t0FbP8
MFP6MK8cWUVXUtBA0st0rTGAQHFt4y2CG1RLnoMGuLZk/UR3GP6336baLsUGYCm6R5PH2woFwKzd
Pjdsr5P7GLvgEMlCD3wAHrA4oty2pEesC5aqlgUj249UqCn0yxjm0gl1RgFm2sB1ztcWB9yPXoqa
OMfncHzpom/HjoXaIDsnD68KCVnRKyyujbeLY5O4CHeJBevOL008/vODf36H/DTglwirtkG1R4Es
a2uG7QF7f7jvUCPRLbQTqmM1/rTtT6vIK1JoTAYw3bi9EQhnk+Nj46/WDYj4fDIj3KxxKMPtOGhk
8H3hmAGi2FZkdU47gUcZ6p+m7qG3g+PqndTkoNIFDQYzdBO3dgyeRh+dgeBpl4Daw++O02qiB3wE
V0Vi4OgBLWL9EQZjSniHqfuAh/48hrgPTIAhP5i8rgOd2hAgopT4OfqUhs4z84ayryFp+yT+Y8c6
T9gJ8XoWROq0dPs31vXU7BJlsuQZjY8R7ELk5eF6IePbgLHPCPK7+QKKxCNNiRX7/0npjN0bWk1V
G2DhdPoDlT4mMBQE/fLatUt7W0bIdQyKc3MEleiorJ33cg1+jL6GJAIvugFu8N0K2v7OTL+GLFa0
aH9n2J41ZL7riVzO6oh1KFXzo9dbsCyFxm+Eq+G2DEBOVWM+Ez6+1EQDR2jxZ8Ukepn49Op38+fE
t3/jtKT+hM1s7zM42L6MMyr+eKjeAZ6rRe6x+hc+KPF8UPAThxH3CpthZSBHBGh72qg9y1WnHoQH
bNhsoNObHJIrYpozvv3sdPx1w8roeAfPJIcwudhuuUQWFvVyNYJW1vUgaJGaTgoURPsQMACT7ZlC
AzfLGy9QvICcHiOaMtFfp+012LJg/kY+faenZwEajmKnFQHkcrRn3ARPYrt6WLb8hp29dtQoto1D
FnoaSACdMmAJB6/WzSF2+cvsoAAiKOANcfY43nE8YzWV9CuxyZn0SZ6M6lmb/nuA40M89STR0Qva
upivY/d33erKhXuWNFHpKthIcADksZmdQusIDMaMsCzJV8+eAwo6ELNxtiveNAjY0McuO2Rd9xDw
19kBcKGb3BtfVRMdmByfDbpBjvkr6J/ZU3dD/4GX47yElZWvNHjhFHdqF8B4+BQohVjgvmsXpl4z
prODbK3R15rCtE7MEVsy29anjeOcUEGcb3HW8zFMey8pux3wB7qeNPnThQ8CmXA8/UW+WnV7jyN8
qSJ3/EcRAQf9yTJz2DyahnNSzlOMrLjNXLxFXvI4T2vRku3F1xXIztzp63yBOOEUGHwIaAGbVTuA
z/xT89cdO0dD/yTIMnXsPjCis7n7JxEodP1e9hQRd41EJG6eksH5brf2GC7rdFyTyRTSpchLwXhZ
wdNpjqrZBaaz8temNyc7eFdo9NvsTSB16mgDP4vb3h/C0ywxezdvJ2Xfg5NlPl4qFxx1KXnsnayH
RMP1r11M7sY6fm52pBBYxHH3ieB+Ai2yEnlVel5/aZLospJ6OHZh8uZ2i7prO5wMrXwXUfu6rPuG
80WCvCyNbRsYGfZza9p0n+QJQ9M+zICyMxATbxGi3WKPOsjRxD+KPgI0ZE3le1DNolkQhOIPiMf/
5SQKRzimMFBvROFEXpuytcetmU/9pFI5tZVs19/vLpxJFTLErDG1rpBbVXVsT4GKUuHUJwHHiUg3
nyMfC2j0BrcVbZswFctWmpUBob3xqHu3HjkCK0OlQvawK6b9bRAkMw1pzv9/gZvK0r5zLh1LHlrf
gVrwLnSa+AHN2zwJ24pAjNbglV22Xz0G4lg35ej/3TDxEdMAvp6Gam06WvqOd5+EwzP6t+10GqIR
1LSMv0LUs+RgQMizPvMtyGKNO5+fByHfp5b85YsthhraBw6uB0u0JogwRCMwvTvzYkyM0uoKIlBD
AlpPgpIdAFzBdFrmwxrTEqWvEXS8PNJxhSLFYPWbfDanacWYm7pzE+IIGkw2s+2CF/5igc637btE
4pZ0NGvUiEacV7RAwEeYzx6ultFZK45zCPR0Pq2l6Rsnp4Ri+ekVxKrFDQGL5zpFbXck8UpTb8yD
Acsyqr31wZoGOI5EDZvqB3ckoIS7BWY35hdpGENFFwijsyQXFjj9eY22+4VM+4G5C+q9/Cqs6z7b
37vYhPIAu58C+7j2QTw9822GlcThCrsawRsHFkjq/bhpAo/aJLC4QoY7o9/CAxE+inyzKj0RHpSF
YbhH+AHaxmnK+mIoMwXlq6lQehGdDR93lEFGHv31XYRjBgnTHT8uIwtOMZMXa0rqolxs+lyMI7tX
O/sw8zSDKcI0HyPs7lNw/v+Lo3C7kxFLn9Mvj07rJOdwFy8Bf6mHqH9youOo9iGnNX1AP7yr3CRH
8wQ1bK0PTax/UM2OUbFcj8Lt/XxeI3qNxyAdtnU7LATvz5jAMQppj0GZ6Om0z4kHcBxRhUWwoUd+
2rRlBWCOAoAcO3E1oJoWiSWrF9+e+AIAPd5w2ntNXUmGKRDhtciCAC8hx9VuouGFNtF4TPR4QTmf
XfDwNNy9UVARM9IKP9rruqyo9XVo+6EOCwjbvSSEgfcUErd1j60WVRcaQ4Bv4R4XNZ9GlDF3eAe/
NKodtUh3zbuzEigYRODkEv8H9ROvQJWiTdkQwnU06jNCutkJOeR6R+U99rd7Kpb4xHrSHhfW/U0S
XJDrjBdC/dbTLS77czwE7yIJ5CX5NaF6CL5lQ38c69kOE/Nah9BKHGpT6XW/7YqoYwPznMUgHqPN
ee0V4PbJ9ZzcRIimZYDrWjfeQUUN3jkvqZIBqV60odse/t6lU7GFwXoaOknT3o8UHOckqZa1vRKQ
uJ3c9/PN31lz14m96n7jrrZuv0KT+CUb/W/tfeKtSF55bH5DaS+LazxkIKi/+5okTygsbIuA/BZT
KVn/DqDrGlFMAD68xpoEFZpNH612V6B74Zx7AX4g3ukFLyd+0LH1b+2EczboAn7gMZLL1ci24tcG
q6eAiZF00Wsr0JUhy1lHyLnwQTu6Sub+dVX4PuaQLZtjkG4zn86mU/shYC7wnuZbzeIJSj/JcC6b
tI7YrU6aTxBZeNaBGXYIMhhzI67CMWAWi3Rz30sEZ0nj3RKxbxk1gAOMal60v6IYu9IrkhZ2WxIP
536H6q2/QgA0OwK3uhY7xKS8MaD2ZZKMn20Ur39mEE7Db/kW3NRwWDzy7kcLgSMNSRl6/GK6FVUN
XnqrhnSfG9x1e/jEY3rrG2BMm0QjuPbWIxCwOY1qhO+TaBh6B6Eo6IonXxDUE5H72B/m7mWAK//Y
D3vuWJwszer/BIjIoUS3W+0TdNxmtERHtWCdgR3x/xe/icBOmxEebnDbXBOcl1+vc23lX1LPP0CX
Gv/Jzoim2oad0BeFLAWYCCXnNwarOzutmNtwJxYP4MSy4/QyIp+V/7AReFWsh31rxuWqw3xdu7jA
U0WAcAp56+J4ztouUheB9NVlUYbjEGvsCuCWLHXWqZocCZ9mcMJRwUJJCsC/xe/TDLjp2rMvCJDu
kR1IqP7Nu4lgysnxMV4J/MeRnHanxrXWMFI64QDWkC+v/sRGeEb8NDk97rN1PBNkrTyOsJRRteXh
Art2WPGgDWDnMqCYt62oq7irIVTWPkskesIk7CpF9he0t+59xRLMEzC+gjhnPZ37X1QQZ1tdbMYW
cLzESa/joZvUB3PolrO4/kKyBM2x42IQoqhtEJXgRD7FMLKSxeONNa4onLVBoLZPQ1ZTBbmERdrz
4aH3PF6xAfonH5BObnaelJgh/0OqUyaGOANrhxd6AEA+zRtFV56K3K/bd7IMueBkOk5T/GZgNaXc
i9VhxSQTbGX3LigVDzZEzpfoCQ+xeKwDAWtu2I41qMg98iX2Bw4kYwvDMlG+gyTEm8p+Ala+Gt5k
E6J0NDxRTV7au5gvR6exI6DNGRXpKf69d333OfRZMbHNA9T229EPoidC5D+i+fqoImoRLnG8JKr2
8LqgRi5iIp+8lrmPFAtMNi6IBzZvDQ+j8qpEUnoexuSIV5BUlgmwM4m+a+L5hXTxcpCTsMBxqX/o
E08cDE5b4DqCnqI9JMUsmz4TMkoeOl0XI4WHDsvBfZ7w/E3sgfx+9JygIPNO3yUtO8XMh5fM9CB8
kDp6UH+ZZvXH3ok/RH1HWjVXu4/2uR/7JeMr3kHe0tdFT9Gzb3FmM90ArPn918EmBvvnuhQkaJ9a
4eOEER2kUTsPB+1SNAIN4rlhbt5xN03VZIe47JxQPrcjqyCKEaGh53YKOcdfHXhz6gJLvg0GXQyO
ZkdZ++54g0LO2whzVnlBe21M212pYDZnpNky1KtGeC8wNBLSuKf/v0S//9SGghzj5o5SFZ2cScIj
djVsQdb4pSucL+Gpxk83icxlRgRg4/Uu2NFB4gE7Yai0t6jzDga+86kWOAkmJFtFO7r03DW1PoPQ
4dAfkbzucT2ik4EvAq2KDF3I9sA6TNu1s+QunNvleWtY2QSJfd4C4DU0/PRJ1zyzIECwzUhUtIOv
0C6YaK5cDns+VO4JREKXBpaaaqPTfpZqvGmXRHcUsYlZSpT8vNMwwRawE1bHdu/5g9t41bhIwJHj
hK5adxpqrJqRx/MlRFuqXboGyEx/mFat7wJsd5U/8g+0EDNmPXFD8Qq4ltPI2z6YHzE0Q173KFCw
VsrXvVYqR3Uuwm1Bg2PdxGshvNLXO5y+CDysN5jpWY7Bx+YrLG4SDz5YMEZeadihXd0t7jFskFg7
Qj1OqCyckwXuUBzKx5hr+YhQNuvRVcmmwJkOHTXRc4y5VOJZArqQkYT5yLb+qNoQrX8vrtOuGXMQ
W2vZt5N/COHClmoY5sIPQ/c0+v3PHnTNuVsPrRPI+9kbd9Qx9mtrrC1R9x1PkGsPYtu80syYPoMz
IGpTurmLf7+E2v+zG88WDWKpeSLsfh9Gcu/+fuFGUeDYwUuH1SAzkFC3uXHMzetCeE9IkvCZ0Nvt
/1+PI4vlVdO9xJMxSDHMPEonGsHzcnjgZi0Hxao1FVdQa2e8F+YhDLV5oHG9nT0SvKK7mhS+gyHC
h2S5BtKs1wHPfzQp2NiqC2e09Yg9gNmFGzKo5OLwFU/7gHYp8JCp2c+6FdVODaFdTjv175LQ+vCI
mVeG0kFuv1jvdfLxEA01iYMcuujmW/IvQmCKqdV799SAcdVTBztPqz8WFvS4TtgNO3tpTLJc3BGd
5wWuJ0I2oQ4O33s8QmJe79wW/0H39RsShrncPEs+Fmyz3T7fDQGk7LbNoNimGck9+ICR1WsxoOt4
MnNXP68TBUSESgSFer2ie5TgYVgoHfSWdjnxQeXEs3d0B8jscB0Y4Dv/fTHrfK9i+Fy1wPM5TC23
i6TINAa/Fk0OADJCL3rc71CYP6z4WLW0RXPgHg/+81BuXtp7f2VggKM5b3axfza7KnBwsze0YsHj
cDCHuH+/8EQfyLRN3XMWbq/RjjGCCXTo/AT9U0Gjm02W6JYwGNV1R2DwdRS5NUi959pH79Dr0Uxw
ASS7wX7GB/nFz7ILDtzLQb05VzovUGUAxLJw1th91/+4O7fl1pEr234RHLgj8Xh4p0iKum9JL4it
LQl3IAEkkAC+vgfc1XaV7e7oOhEnTnQ/2A/loiyRROZac805VkExUbsTgt4Y03SLRuBFG/Jdkvmg
RWzV3E2Dbo5GNOBpSiyGQwhAN45u5SuJy7UgUduDNrjMZTrdBTkqBj9S70cxOZcyHfdd18U3qdla
+9Zp35OILKnBhG6bBy0Cd5iVz1EatPeU5E9xasiTwre2w7dOAr9qi/2Ih2wVgQw4TFF0TTUlaYFm
MjZVuvWdrDzoanzM7eg+Fi2Ur14w53Vz9zVN7X1WocFPHjgYVxZIPXbUMhAdPoOmCF7jUF+6yL/C
tfJWycCMIx7T/EAwyFrHuZfuiiajcdz69jxdBOG3HG//LlHiqy3ch9JTsGrmYvGbD5uSK31FVu5O
h/OPUtK6+nEgIWhFYuMYZbtpR+Y2CgfFSnEv7hI9vZojOQBeuGpr8yrT1L0SW/xhR/XPKjLf0n56
4Q1K1xn8LuR45zyBaljFNaOxutC3FbSZZ79UmyTU7vs04D1H8woIp6CWx2Uf3kOU286OEWz6Whor
t5P8/ZY82mI+U48kO0JgjLaH4c2u+/mmXfAzbeE9JcHQrY1SW4zK/EvG72hkM/HopPL2hREzeLXO
guTChpgRXrJOA17IES9KTgOzj6DqaNoPWbnzWrUmvjbbBA7nFcW+WpxfeZLQK/Su3nVOXZ7dIVR7
ST3rMkKLYoP5ipds6N3btcwB2Yy51HsAecep1LedGDT/WOTHnMhWqLz7JP6JlfalC6boIHtxnkwy
t2FPpj7h5mxjE3eL6VCgntos626yHI9OP47J3Wg/1nFdHlyN8SBQwQULkl5Nc62OUpQ4dPvU2Y7O
Og8RER3qcbx4BOWQyuMQlRBwhyg5K4iOBbSnazPInd1k2/GpYx6/LUwU7nIYnHMuaR4HUWkqtNZZ
2xGar9c0J6fO5o00cOpU0VFgMbtgGn5Ims5CzaRZ76tCb7METAShocUK4rQcLIwMRPLUtlF9GbEL
MD8qva1tkjU0k97E84KHUwZOvvIKvs6TlV7LKc6uvbhVDR+AizS8GnsQAtpY+HHhDDWIeaVXINd4
7nQrZyG24xyQafN2Hr/wObV+TrVT3ebS+NmbfrdTU0AETgft1pknsSMr9THCkLop1XQswnEvCwRg
VZ1JMgz0dz7KhQkTqTar8hjGw40z3A9jOTHgdv2N1RzrUf6cfVygYnyvF9tM3lhfdmZ7+I7QMLMM
D6RKlc2/eDXzQp6MiCmCcIpybTMTOwcNdKsiU9nWKMb2JhzbszmEVxJnX8o05DaaGOQrBEsgFLeQ
Qmx8oFyM2OM8UCeMmBK0Dx8hZ6XcHrUoEc9gkuQ68rFbDUgiuQKiItTobEVq8aZZk/GI9LTKwimA
eOUWeARIsIJF6E7oZwofMGquNiwIAhblN8qIG6RM1mbLWJUVpKuuoh6lZ7/turlh2uNvIjO0djNt
9MEYHX/X+N1zO07fTd+PZ0JV49lY/iu0jZ2UfgQIgWxkTnm/A4EYbxPXydfC8g/EUppN6TtPg1Of
KZfbvTvRz2hYU1vVN/btbNnzpctf3bDcpm6U7UYzf2BmMGKVmaZrqxU6Qda5e+Araps5gbOuEemy
ygYHJU9RHHWH0e3J/WZdu5Hu9O0WRnA/e424N2rt7Sw94teBx9R3aXzUQZqsmHG5W6swxR4h41jm
2joG0lyPiJs3zlNMtOvsFf22dvs3aB5bHKHWKpNfHOTVrhEk8Etv/JkJRuuZdD49/xmyIsMo0c/X
WRwz9Zro3mdaIcoFqbG129TaFpPCljmkOfZISINOX2FLpD0eTWwVEFFQxLnCG9ndcpyvsP6Ox4kZ
eu5Tn8zRLwGO8SgtwFiWla/n0jLXpt10yPr02zKClOX+MD1ME/bAJK2H7KKIG7hIeKmPfbxvbktI
C+s5H5dwLYYoA5mj9Vw6Kw19KnOsaY0Gib7RRh1WDm831vgN04wj0GjKk3a7Bh+RBQKyyiL0TRoc
q2gQdjuCR41du1gFslvOLr1JS8bdkXEORWPdWKX/aFej2Cup+GwLsQt1QjbDIX3YlN0j489oC8zA
WHkx7Z+T1mclInAhJlDPij9E4MHyqSMNoqZri5z3nfrVuzv0dPtSYHdBtF0Dhh/3hjGPx8avXwSS
0l7bODSdxmEehS/DVsslTeFezTgp6whGkCq88VzZ5fOg3Ac7S9XV1cPJGeMLZ/+73c0fqTmnx4i6
biyyc7ekE6wOMTdfZtx5bVg8MGve1R0hynTnVp8cs8YWIkgKssSXB5r6c42ocDNQsGB7ZuhmOzNy
0obMQIt9e8CQiCMaL052wqxdHib0pa4FmcczMGym1F+ZovpssffNYQv0DiuLm3K9WwMxb9Xve+kP
R6+IHwrdcnlZJfp/16XbkEoxotVZWXBcTkla72OwpXMyfgfDW9VbdMZZqS5h/BXXEfJiO1HpkYIL
Zzvf6YIQQooAsg6pP5cmc+Ijw9cPTeU0hbDVOnGflEVKJZ08t31Ebyt5XJeXcUSaXQ3kcsiZjznR
V2qX3gbCKbe7hTMn20nth1sC4eNGRd2njhMcG7ZVrgLXMNfYe419Vx7TrN8L2CQ3gzW3ZJKNbFOp
2trqgFljwtxpPbnzRNHXXFpqqlNGnnFW7jYiy7B2s6cmhasXBnG4cuidN53Phz9OwYxTJQt2uhue
rIZfMA4mQt+zfG8ViQecKAANwvFBMDPbaNnmZFr6epPN8ddA0qFAELlxwQDavosZIZTtpWsfteAL
j6id7Mreu4KbKrbaxBvk0w+uEx//hVDPUYQrleJrWJlDvc8bYvSl5toQn4MTdBxHhLun4ZfMjQ6i
D8YLJh303mlonc0ZZstopYup9EcDMe+vh4CoMpMOYOlnEYuTbCtFUu8W0iGemnSentJ6BnQkkJQx
X0D2szE95fjiO6nWDUcxmBTEvrKZto41/4gGn88YlYD+7c1IoImq+Kvz4/ZsGBbG50LojQsRFwbN
h7J8uUx5zMP0YNc2eCu/1oQFkXtFwXTRowGPmT0Feqhvej0wLO1qSsLEfDftUm1F7ZCvje4b1XgU
YnGPEMHHHQ6RwVyvJzEs1FkneXcQXvPTtGFaNdII13Y/8+RP9RP0EwPHv8MbNHTWbYBZz/V+4UN4
ScOifaud9OKWgfdFmPYYOo9hVnd3YxcFTwh3HwTz3XNMamDUxX1gxITS4/LGzqOeGaTOH5NG3/Wk
ADZBn8Bo6sbggCoWk9KpPorcfurHdLpXHjVQ9SzafHryo4X5xOx23WbeQ5C2sJh6kH/zWH+4VbUO
srsxs+aDF/Ppd8sEXSiN9ZFWcD27HoNhnks+EmQ7oF3WzvENE+XItw52W7zkkRQnyze8PVsok7Xd
zjgvLd6S/ycMl/9erPJ/HOnFh4Lyn5NeHtL45x/CmP9OCuQ1vwUs2SwCKtuGefo3eov++itfmyVo
sJ1Y6craCps9MrzmPxKWMFeXzYTCZYuBBQ4Q6nVX/42v7cFahxsjLJZxscbiTyQs2XzxD8iXha8d
uGQrfRDf/NgFCfM7vnY4DnFUJR71+sxsJ6+tvR/ARlLTLWi0nz194VtqKpjEUfjShZP3lHPdrSxP
nij7uL2vAwrpJsiiZ6nUqaACoRpqd7aRbQGDnCv5CgVWYfetuPCw6/LFn1apI06iTXdy3Kc+Uxva
NxihK2VBq8p7hFM/S7cTgcO8Mc/oa2gPpPKAjGya6rZyxbvSkwQ0HTwFPcNJZuQguFYlyXuQ3Ri8
VHnyo+4tjf6Kf92QQwRIoVdC4r8qsTRk5rDRNmJsdpH+BAYqeh6i/l5b2cbK+F0GeSUbu+nUPO70
PJf7jpAOVSY2C2I+3Lepfktx5gRSbI2af9Tj0s07DjYiGMl8NhMvWXlLGA6zYaWx0dZ7p7SfReF+
6SipAAVk90RQf9h+9RLYyOlK4q5pE/kYuRReYd7fCpPptCp/5GH3jSDCIZAhxg3OrRoJjNg6esrz
8VfNq9fOaL3K+WToR1E6O1M9SMY/5gjBB2goaAoyiz9TUKIYr3dhOW3xhlyyhTU6VVg0PfCjVaH4
u0gfkjO/tQGU9qKU2zFJ8mczQWzRVcfbHOJ/6zETiyXp1SfoNRQXHkWIvQojPrURG3a2aDEyrlZL
p7ByNS1fPmui9Noc8PLjmYkCZsODqagA0qp+qcrFChttB0c+gW25lhlhrMmHHFLvx9jddCj9FJzx
DnDRCz4gwOq53kEm2Ch3SfvE/cUeqoM9uz98G8dCNDClA5FzjxTxw6XJiqS8ZtreTG39RIO4KYH0
FeZ47PLh0yX3fu60HW5DFXnMtLKjkNavIZXWYtQjWmes+QJs2plEcUP8EWIHheZKNZ85htoqcsrt
yMxMD4ARIwC/x6zH2Dz6wGUm+UPkeFMaQhV5t2szzYgmFAci16dxRrownfGI8eqt8PYY0b+nqqUi
KxDKfTfht5waAhFqNTcCYuuPsNvNdrCTACR8DBiiGn6YRrCPIrTHimZ6Am5XMiCqM8QBAPMkEr0g
HvckpIYN2dTyNjeKFjxCyNDPdTBd2schcx7raL5NlbuZAnlgsH6hLnyBsnsCDsUsDdx9m3tHJhUg
oboMmztlsJEy57DWYfeWldHGstUlF2+lApkrX5gKvGGs5dfu32RbODedF5xb07Rvqk7zaZHo30QL
bTxYuOPmQiAH4vLWgSQnIx3isrmtjWafQS13oJcPC8a8TRRQIsjmSYyhmFzan7/d/ntX19O/ZJD/
/yMC/GHZzD9fQuK/xNWyY+qz7/71q367umzWeuD1CB3hBr7n29wNv11d1l+WyyyEosQVtmy2/vvV
5S8vMgMgt8LxQme5UP5+dZHX9LgMXcu2TH7sn7m6AucfaWXLJid2b/OjHG5R3+PP/f3VpeykcDsq
qY1TMwuOTZdnrWljHjL1WJretLf5TbfhZB5sM76fyuDSO8RSbEdnm6HQH4phGPyd4RAU0JKdXhFc
aw4M6kgf+2dtmczQUSeUG52mZAjQf8YU30h/aibrailQn+P4ODMN2SQXCt7vQY373MPXKqxh63pL
sMsQ9XHCh84j6uI2R47ZN4X7Mzb6HSDEiOo7nslCuqBNdImLxyNxkN5FbfChTfHe4RNbB4pIuze4
2P4l0frOJG8pGkBU8cIBaeAWZq15HJ1yb7hFti8Y5jt2AiMtZio32eFXbMj5UIaaSHq6T215mBqu
qTYxOn62896UhFPa8Vfqq4+MHrz2/TPrBMxjUS7clFmd89xZuki9cqrwu4yNvdVaR8MSj3mQQk1s
7+cw3VUeqpHHUoWRPB1oyA+03LvI9rZYVSASTHdRVN4YgX1jBvo+iIY7W/U/hd9Op7bqwSpWdy16
6bavAO8uB53VeIeu5zJG5jmVsk6QNDHRlV3sMxRIceRYHXQBVe9NVT8mto8VlqFkJS/483ZxPvJx
YNuNMKLUOR6ZRo7gCWRL0gEie1/ssIftVSA/Bx1f27Ag0TC5t0GuWDNBACP3TqVoqpVZ6n1r2x9p
Nl4nBZ3Rg57e1uTl5bQzhwo+FFkbKESFW70OUfE2JeWjXL5O8LFsp9l3bk/ilAyYdqz7OKgvDvgX
b0wfCuU9TbM81ETL+or6Ip29n2auNkHrTUdSd+s0yIe1ChHw6wp3TJAfU6f/zskEqHL62UjvudJY
rEFecpV6EPAKc8+9cLDreN7NzbgvLIIa7JuED46SHLbTe67xpy6XXO7+gsaAt9BqGkgyGSUfqVkc
8ISBvTpm5EKVN1lkrIzKGb48P932MsRrSQTD7kbydNLy926T4E9vHsu8MUiVha/GXEF68+aVEVo0
93Bf0ubQQKXEyg31RwGYEW59axdFsCZefzdO0X7gW7zJwvhN6QS3pItyaySEqLyT6xg3hZv8lPBz
gNqJH4krj1gj3iOMqsg12HvtaCaT0GXn2sbPgAyyn8LCXA8DDsQkTfjM6ofR0Pepqvj2UXOIzn+z
eSoWCl0j9MNIAGidjvk+m9p9qemVu2oc13NK6GUKrGPb9TtZMUz3+wljK2H8gaEdIn9/P2rjOHVF
su59bMHsRSKf4HhNCYDN/LAoqzdd49m3VhSR0x/nl6aOyKHk9gnsdP0JkgqkcUxfLAcKqBTr6NpN
nOEYUZLT+7XfjKpuO5RMHqv0R+KReAjmTZYRwgqyat0EGOei9sZYItEDqTp7ZHVMluzaPnsf/fni
J6NLpDliC4sfPfozsUQYKbe1TzB49DZ5032lmTjqPtyL1D8URvNFo3BjugF40eRRRTlapGquZcIs
ihf0jfg2+4bxe/cklHc3jVCokqzT99Ix7+OUCKBI8SmXw71jqfnYuBn7XIAjpCGGxMVRtHITKvkM
4cSWv+JW0zekWfuWqYBsmTk/1mF165dDtSF3euCNh3jg48Bt2vyrBdK45dNxAaFGGzv1z7NnXMs8
498JqGZKZhZlYN1GBAfS2TpFaqQfHtwfkTvdiMY/YgTdd1737SrUoqlBpAiy1nlozfBqVCx7sHUS
rNy8/NbAytbWVHCuJlfHm7ad057D0Xie+CDXQ958QRIhnQCkl3ImZ3BQfOvefRsDthJhFHhMYve+
0Gw28KbsFa1xWy7AuYhA3WRb28mXN0SPToZ0Lk5Jeapk/N4E0zWiLFr1IryzInXF/TZtapgae2pq
rgnT2CrRLT5j9ahC3JpVvAtkcuQgqy9mBCGhs3Jzo/3yu6zE1TcdvZdu4p8bWfTnVILDtvMOLoc2
Xkx3QIMdIsLpebgdcX8eIATT4iT2uq5xZ3Q5WPVxxN7vNJg+moL1C5BJgAJMzX1UqaM2q9eR24hE
T0uGKPZvexlMsFmmB7MMEN7s+mi2isDD4NlkJRWeWvdpVMB2WyZPysCjbAzqbrDTz16aAMcWmTJ/
IXqsN91UXMfFeszgbleo1FmHifHReOVzgJU39kjR1325znwY7BPwzhoRcoZDEA/ZQeBhwmTBN96Z
9lNuXHx2MtRY/daWDA5ido52nR+xSyxLpIT3I5+J93FdsDrJ3jQa6qjf9/tUxy8RX59Ag3a2QEia
zr2V+9vaqM5W4n+lPkCNaTHzJ5XYZO148Sx7U9fQBIgvyQJiae9+NMDiurxcWX15juf4kpXwu/v8
oAuDUR7Q1NB0jgzEDZCSpNWFz39ckp+CQJG9mT1K/zEp4oPHMbpJ8i/hZyiJJe1PZcLG5H9bZX2P
R4+lFbdFssisVfhp2v6jqbNsq1X84SXyRar4piIINzDrFOSUca0/jbqOcY6SRCV0GD9lPQlXPjwG
n5HHChSj3CViWjcyZn2QgzZd2Jz+xrydoupp5k2Uofve4rPAaxHv54CuLydYhDXwFpo7z+voU7TX
Y7uVbfJJD0PVHhB7GLPxVjIEBlAM86ubsdwsUmrUtduwagEjeCaOXBR0nTvLm77zGh/OjfTWlZdz
y9Yzbo9pPqTL4FAsrBx+u3mdEeJa2S2hmXbEWqxxkUZZcCYzcGv5yTG0OccMCIzYvY9K9nvl9PvJ
K7e8Z3e9EDeiLA4pPU3Rsz1AmNd4hMRjCJ7ZkaRwa+Z7HTc3MYk+1g+dOvLSTte8tWSZMJd8yjEC
H4AnC5sVWvcpHZOdhCURFN7WarpPWQM5ixu8Z7617e3iZHCZWIwcPKUIQmGshxwiZMQaAh6/Lrrl
0jk4CyNlYsuMcKZnJ5ug59tLbO9RqW7T+B7s59zYOmQpHemSUlDfI+DpznEpVuV71rZnHZqbaug3
BcnKzDEOAz8xkcxM8hxrQSPiaWPicBonsrxCxy69pnQeJmi82DUssqTpa++hA3slc/JR89CV8jtr
FaWx2mUuZUujD6GAO97Mp7izUJd766hw7EJMMa74hbwVyPS3OkAM760IznpknbyAfQt6eWyZiJEB
MyqUFGgMvUn0WqbquxYFiflqVivy0vyyc/GzJPoAeZJe12NMdCM7vmqRhBSwDAm4fcdN1WbizrAJ
+vj6hg0WF5XmAZm58d2Ke8ECq9I8uFPebswk4v+0zRBHOC1WWthsS5s+GA9eAvA6DJ6RHcrqNLYj
PJUAzn0+gwLVfgqyvUc16JhQuMzLfCf/yDqubrMOr6nyPqo+v4u19wETjZpkkp9/vkX9183nH4h1
/+Ok1YA9J/+5tPp/0hkScZ8XX//cpS6v/K1LXfaiC5MFhiz3FcIUIOJ+61Ldv7CZ0COZyNpQ59/3
rfyHwApT2166V59pjO+KRXv9e5dqsbGbVSu2TY+yrGH/EwKrJ/5535UwkX7h0wJwBvW9CLC/E1ij
PFWd7m1346iyfkLVdYALVN5mKuhp5oktbpFU7p1waS7hLfcHb4ZtDIM2JzleX9Os/rKLFipB7mKH
EuT0Zor0tNLcSchsTPbu3Kz+VRbeYy0x2eSxoP0JH4PU7bALkB8vwi7a4CPgmQDAuWHnREQJ3P6I
mdG5Eqa9LlFnzG0aBveuEd0kKUsBGG3RXhrBqiPqZkfFaYjJuJrpVY71mYBWRea547xpw5dq0NtB
mZwTY4peWmB4yeb8vghhUCT4N8mKJDd9ITByGNXHNNFkW8VM8TphM+F4mAeuz2JwLkohrU5Tv8i5
/rIITNyFjOaKynvrAp8wxBINnNzk4s49BnQzp9QwZ5wnCm980Y6kmexg4xrVPYaJ6NawVLRRwTQc
uGs0iBVqQ8MI7gR5yGOPF07Ql5gAVTdRiFG0nMCU0aY7q0mqM0BkIAW41Yu6fEkzlgn2eOyqOX4b
kp6s2XRT420CM2ysLYvcP9VhvMmc4iON9SECSlb41TceqK2YCc0O8WasKVxlWX4EE854aBghWyGz
mrOk/5ksrN8GDyAyl3/tiWKQB4Xp33blc9XN1ypcPAo9CJNMdi9tYi+4GlzkbBZMzGcbHpCIh4pw
FzsbQROY1fCIK2SpEmCQJMVXht11B+BwN5iMyliagZ0m0Wh9+V05UnxPBheQnZGz9StHbi1pnvpU
uqsuy+v93CQpq1DcS1QUryZrJpiaBoeRR3KVqrncDa1PfNDw901Q3RQjZcQkMY1VzoRSHBOoy6ra
fQjYcoAoPLTOttPur7ojQG8bgdjMTqJXhhDgl3pqINvPp11emul71BkEKN3FJJ7i+6gK4e/SFr51
bdVyuVzKbTV62GWjJTAcxe1hjsWrtzCrASzxnEj+fEJI9X1Rmm+Jtohk+dkP30xP2L3uzLin+tf9
wXCKV8vIQhalYBbq4ilZs/Z0tQza+nKsbppE37slULfG87ZamjuVudvaYzsDIYAX5TKfozC6VAAM
CFWDP8oDte5YAhEs4zjDhS8xMpKk6XzBBbgnb7DrZvHTw1P1ZEo/4DbLKeb1wncjz8KGHs1lPH2K
kFqqtjNwVAR+JBwnXU8Hd2Zq6Kce7B3DAG0j8z3rzra56VPCT969zPSyHMnGZ9mlH16JsyJx241I
vXYb4EFOEyiJleFWx6imIzSH8TPHOQawuL1xWPMItBkrWVPcznZ3HwV+uktd45pYA/ESki549Z1T
VGS3A2wbjBLjkomNvkshzgY5fSKheK0E5DaziX8ZU/ThDtUTffxWddNTrct+px0YIdB+14QrmCMH
+xxwyHoam0ep27tC2ftOY6egmTKd/rUj6bImiH0KJjD1i7BcSv9Y9NX72OgS4BRanmXF31YNKGys
vgqq4VU/8N0vCm/eF4hNEAy8VWdMFd1sS7+fFLupayUEg6V2UHmCQVL/NKAmb1RcNTd1b259BTvF
tbOt1xH7nLv0MWR49IzrDi5z+1B71PORC8C8j8/JNGysKb+PiiVkXPo8EOG9VB3WkFLsfRhba+lz
1pcj/IO0l+dsVhubOAL8qek8LStgcgeZym+BcvaOgSddo9R3U36dsU76dFmgwZdaLPc/STuM29i3
WRqYmZAwEotoPsUUqoRIOMzmqxtWTxiWJ1p/FsLaWvUndmTFpEIwGPWmQC+i5BuUBU4sT240vR+h
fMmA2UpsRh6VTvCWOskCYJ9sLO4jdgoaTCn7u4Z1BidLaZzvcREv8OGVjKxXoubvzhje2oNqtm2I
fSEx0zu2IV2F5H30BHaxZPrF9lTzVLXilSWHB8/11TYMBmsfVAU4td45U0q7d3KYcEWRKFJ1Qsin
+ara/MVM2f3itOWe7zSDOAc1KKt39GSUYrN3LkjM1Bl24DB7TBMNAaFLn7JOUnw3715HjJ+A8b0h
reSGEDsZoYYwvpcTuNDzYtyQANStujkmkTxqXW8qIklbO2cYWYUWVl+21IBxpq0tCKHAS7B84FJs
tXqi9zNIt0aveMaBopbhTRDPDcwCZ2+zUTDu20NpEDMGE0NS6iaqIlKs6rHrDJt8a2cuPYQAkIav
JWMeZYA2q4V0ii0r14yloGRDVQvui7OF1sjrm92ADsK729qXWbebLhaXLq2ws3ohQ55xY7QVEhN5
MN3yjllD8+5WbM0ciMBXIexDaHAP6UQAFndin+DIcUkp8la7h3boPsiinpnGsKQRcBKW69YZfOQ8
UqWqm/eewFKBc2v22QXZzCHiEjuysSjxzZ4Oag4enXxi0ut4T4GM76u6PvX047Z2roCusQ9CGV4N
2OzRBm943r8iDweT24SLC9T7UTShxKAvDhXiTpxZ2brUZPqdsLqzbbLiTPzSFYASZ5FSrFViY+rx
G/sungrSwy7BgYbVlILjp2D30EoFGvJ0dS2kvJsNMgFBFr+woSheOXXyHoriWgjEPBX57NzCsN/E
1SZdJnCGn8JP8RcxRT7XQZnQSrcfudt+TimLGJyhuBRJfW8ECWKEBISUbvygAgPKiGLXd/LCAjA+
mGonhvDHWDD/NCUnFWFt/4h68TFjhF/nuuTRM4FNpdyoq4DLjKDVfOnrEhxwnXT7xrHfgga+Y+Vr
elwVvNkWJs2Ugm3PXWcfmgoOZDYB8kskGITFoFeH1v7PNx7/y2ZjAdsSfWjork1P51kU5/9lE3Lz
VcQ/hz9YPP7lT/itGXH+IhhmLuvK7b9is//Wizh/8W3HIbYT0gIwEf/9wMxHgg+Z4Vu++OOCR/8v
NC+BFQjMIQFWEP/PtCIW1pB/Wr37hz98aVV+14oEEXlmUUlqjCIjODgFx27AFwgfl/HOumXNauZ1
sHOCYxEFZwd1cGZZnUqxcsriilJgY5nL2QZGQHMj9fQ9lu2WPVmPxFfXeFy+69y7SZAuuUp6gszV
sZMelC2O61z9qLz0mHdE8ie2r2BvQlVZ6T4+BnFA+h6DWQPExYXkK0jn+PpSsLomgLIPRpONkP2j
KTGUe7mFcJZexpErwqhBrXZF8JRBEYCXA4Yze8iM5qXEsFISIPXLhk0o+evEWGpOL51JpemrQ4jj
kA09C2QywzLfCk2+O7pDLOqTmtWWDgmJJcsfWzp/ibrxKmrQABsXo6RLyCCs7YciJXmYZNCv0edD
uC4wXnZ2gKTVxWdJSsHprmn9biyUOsPt1jKp27U26SeCRLz1Kr5zu5DFPUX6xdphkC9kVEPjqfIx
AON5exU+PnbOcnZFHPg2Qzfv9jMgU9gdp5RdxQW0rCol2tg+kD54NGagQCq9kxRIYjBPNNYk12o2
3yTOFlw4VIF4xW6GnZdELHDkIO0viyCvu1vmaNtZEaZqr3lDiawoAUQOgW3e55QmPSxzO38apmdB
5Z+yGLyQ5rgyugHdCEIwcexqriHwBA8D1lOUzoMceD8kwSs9PHrVdMI4wCYFCI7tbRawfpArvBxf
huo5ZLfw/IpAeEzURx7gIl+YvtDDJjS/unpN+IHAvjFDk2wqWE7uCEYwCLN8tCbbIm0GK3H00UGv
5dh0dLzuKs1x+8ZAGAjGXceb2bhk3b8XRnyeP8UWqneJg5bqXr/7Sf9/cVz+79JpWA7DhlnHAb//
X0k1m589p6RMiz8YCv7w4t8OSOwBAlctexTNYDEOsDvgN7XGQ5KBMo5aw67xRZT5/RFpm0HghYIN
AEGAVe7vag0LBwL4pgI7gY3uboV/5ohkr8A/HJEujjvLgRGI5yEMmdT/8YjsAcpUgcgCkF/pdDXC
Ggxch0hMrKLAtSkFYiigyalo4D87NMOfY01raFQS7LjvpR8gYNO9sFNwV6mH0DFkD27hdLcTz9kp
dwJ/xQR/2TPShW9O75ySuttN1tDyLCbtK7OsdWSzmkh1mKQ8ww23PDJqW4/5v3F3JsuVI9l2/ZVn
GgtpcIejcbMnDW7fkJd9FxMYu0Df95jp3/RhWsjKqsws6T0pB5pU1SgikgwGea/j+Nl7r/2O+Oju
Qh7zBhGyDYfgCYVuwQLdzUVQboCS2Ss4wAeQY29z52LS0wqLDyhEz8Ky5FQ+2Fd4pmXqAKdb3A0j
RQWLyPA4IBNeUWoDtGL0gTjFXGmKac423AjolUKkOMTCgkhaZdEmav36Cgj3SwBPa+WhJhd+zGSI
Lx22IhNdWDxQtlRumH1w6QbiOq2i+0noU5hIGBayu/Q+MN9Mtk8pt3unASBKeW0SNdc1HO2V74gA
oxOYDDutLnM0H0nZYDYwf3hk3FZ9OZ56xyNPFxlHbvMAPluksYk+V5pg2EroObuvuB/kCd1r3MF2
zMuPRIF3Tt0c0DkuyIfrHuiSbbqY1gq5DXncFIbcD4WmCrEE/YRrvMr0Z2wjJomw2U7W/DEH1ndj
aWtTd6ZY7O4/J4siTGNq3u2uv/HT5flkdc9RrfeRKCGxROZVroaz4ylvJc3+R1Hzsqi9R9dsAfoG
wYFoAAdW438OQRycYlHH25zmAi/C6UTybkfE5VxazRHC9l46wXUDKxvldqQVZkzv5ATU0KIjhYRR
A0XT8hW53r7YDNr9KFH9EPThVsQi+AENgSExTb1NYifNNu1NaldbJP+sV9EmVpDBbOgdvW1/zcQN
lmsELfXTusG7vA+DJHj0CkgkZpl9D3aWbLo4AiqfzHeVCiEKdFjM2YiAq0XKRmZNaLwYUe+Sr6EL
vyza1ZYkN2ZEE+hikQ/2GqiJDUg77K/ygbTYJCpwhYHMyA1BdSQWv9Ni/FE2guARi4e1oEC6tyGL
8q33RrBK6UyNcpc+CauR7GaIU93FylhXhXnUiieObdTmIVyA5X6H+FERWOBCrrN1VJo/K37YBTSp
DT6hA6yveKPj8S6SlbmLpzIFBVEToMvM5meaS/yJVjfvJF8n2wumFkqvT0mUnkw8lbKS95MBjYj3
DD3MXDogOGOAZ23RTrWkc9CCIue70S4ew0OeumCZ011r+nCoS+MqcQN2VALaQ2UFWFkQivvgFlgg
qT2SZandfbotpfB+qbdE1vWqJFMJuAnN1hvzjd2QAsMmdW3F9aGgSpf+4xXEDPJN6DZ67p5cK6R/
IpPJeuDSqkqLUrKpNdaEYa1tZgcYIbHWN1vDTk0EdmKTs7AePM3xI0X1OVUAQHoPBm9EmpEKCbJZ
xlJ4sBRAsoqd1qnsJBeYigh0Od8y+C0Q3fRulPZ3ZIpnzhNYo9kzhIqZ7asVn8iol+up4SZG9GYr
FjOgEpijBjogAoOqoSXHFdr+drnQliN48Ep95nLYCZn2+7BaCoJEuq/9IFlpa7gqrOA6LdyfZetf
vDHGN2z31wPVG02lbrUNbzsEWz5Y7kPokfQt5uaJ8DDAzT64JI7/GPMt3cccVmvVsyLJJxo/sigN
djlZc9JXew4Cml1nTMRikrtByM/Jza9sM6z5ZHDVhAxOdhQduhhJGMttsAcneTuE40Ni99+knJ7a
gohvHzafHFt7w8pMqGqDR2tWU2qEpqoEnYnoCN3qI6q6E08Y4PWmANJglV+uhcBq8YVGdoERFYh4
7eh+xevUo+vDd0jEOLvBIGwic1wvHmN97Kiaa30a3bBPwpI8LBW25mSQEaLqy+C8iDFYWM0LT9Qr
bbXflccxmup2Z7N4g1EX8maLQccYqGjg4YOWV5WO4NWmvO0N1h4fYJ+Ro4eZV5mrFPVd5nwgQDs9
t6k2nsyZ0sg0Me27big71mJh7ZzLcknPm3Z4op46eg4SmA35nPNT47L+MRbBbdJMYAz78rPv3Zt8
SYbOaovboIbcVcSXJdTn1R5aqZ0bYEVwkIKReeS197OC57E2B/+TLc+JVyRxu7AmdFETG8HI8UJ1
+3bSLniVcX7z2jbBkNzrg4qMLxYP+9mPf1KD025ExT81H/Ov2IhoiBgJBbVVcDvlEoCMak6jZxyr
rn0KZ/eWLcFxJO++icrkSqr2MPbFUkqsafXL5+f/SnWCnhqcBwzTWIp4739U0YwiYZ4rwyL6walT
dFfJCLNb6h7uv56nVUArzsFzFPBe4W2MmM1G7ZrRpfLq9tMb6UEP0wY0REIQfsiuJrdhOrHVt89D
bY4d8H1zAtA6x3fiCn4L2zVsYuuUB0Dy4DU72Ypo4jqHFumJlJ9mMgEWahIiRhjsT4qAPbb2O5fw
dez2V1QeeYehrT7AoMNA1LDO0A8oku9zn5gDJg/F/WNygn43qlBhmPMaxpW4PVY2VZc1HBB0CSi+
rLrh0LUl7WqDe+pdWKyCbxfo8Oe+C9exD4+6BzTb2dGeQWvTq/QArWsNreXTNOyftYs0bLTjTevg
qvjra45/rbmdx6CACIVl9j/RV9OO5qj/g7i6fNhv47r7C5Ilc7rN/7HuYrH9bVpfVhOKbQbTsrME
SBiU/66t8jFsOkyPidMhKmvxR3/XVt1fJIkX6TJYS+158i85gJlv/2lat5bPBgIJuKcgQeOwVfnj
QqOOk6Cp9AjJG4TdXSzMdD9j2LgFC4P5YniBw3Abtax9LafjoFXZAEethaxmW6xClxrQhfYbibPO
y+Dk2+4jm1aW9GNYbl3Pu4w6pONXwq7NWoSJKWGfabfZk0zlObf7SG9SBASgl+a97xmPQxs9WG2u
XvuIqGlfj+FHIup+XzOrWwHJ+ilPj3llP6qYKtEwrlZVaFrnJNAF2Q9ARW6iKcZJe+/Ork2BE36i
TRANEOYz3ZljdXL7btiIMedfNYUb4aID9HRjOCYCsU+JVVhXb50CMFUGR1HMuyCCXEGanegLlRWS
etcouC6mdOBGjBkxoEpc1BhPumFB2rjT3vPCbSTFaSiJ9q4UeMrXpsKPqHqckVEbJPB8LO7wWVT+
5MKBMAj1y15XgwcQMiHpN1XevJ11dV8N/tU0GI9GX1isLMan3s12dToVm3Zq9unI8mAYTFw4yXDT
q6Kjz9eNbrxpegj09NOlHxpWEOlA0qg6dI4kL/DBuc2JH3i1BlPOQrx1gr0lQXbY9b3rmHdZR9Io
UhQbJkXgAnz1Hju/2cpsjPdVgeOqHR4MJloY2zOzw2Tf53WTXNyIRXjrmxABIo+W1t6jVk4FC18Q
04dvdmqV1NGD2cI6spKxoxC1zO9yPOUeKPdKZ86VlaWLZ2rjMslFEMBtwpItCDTmHEiAKMaHzq1v
TbM5UPdIB+xARsjGiKxb7wk1othVQl1XZf8meHgY/qC24wiSwvBTvQ61FR9hcKY/UovgLj6bT4tf
AjzmCxhqyoWFuw7orVxyw9e8HagcGfjCTV0au3nKrjFu0iLrk6JqZvet9dL3yVLVoUzw6OgyIOZE
KifSOOvGqgmgUILYmqnsrUKHjLVbwf52sa3hL8gx6zVZfCuN5E2W+k0zvpi2B2XIIuFiN1D6xsqg
ygnbtlEAYdcXN5ct9kE28pOsQAgZV8UUBpchiQm0tOSsY0km11YAMmaus4h6waZDsFRQcte9xN0r
QvtZYxVcinUALCs2/K0TXnKdHHTIU7Allj2laPsuT/0JyK9hGa9pHJyHRBsn/upx7Xj5r2Fvnj0G
nn9P5fekkK7Dqb2RTXSZuJmYZvfcmi7vsuExdWDOJrGz2L/LYWWX5U8/DTNQQ2n6HkOr2ihgE/Q6
AT/orft+dF3MChSNCGNAeNTNeDBDqnbCCGXLlf7OC1rQTSJ+G2uSZ1WYdisbqyfZMYPMfVs6t06T
fQLw8a/7vk2vq5D3mMK2z+qMcqFxguQX+DHZXORsUgrGdZsRAQhSat8cmtFJ6syvxeAfmStIX5W7
iZyYTkeJjapBcpo1Xs/wPiwrKjAwh3PPuZi+8aDz+WaIJklLVN3sYWt6a1dwqZ8aKL6iwNQYxjRx
RunzRKbP7nmCq8ilHsqG3sQe5+xb9TFfrpE1tole5he4GHw4C4elVfcU5siMZK8+0eLlrk7GswPU
0Lch1ATOLX3VW0+HP0BUO3vWO3etc4UFYXLsHx2xsgGUXWIsxmS4+0Wp613sYxIY1TEyuA8CAojh
1wEEXAFNuU1CanfMNjnjwQDAOUTn1B8/CiYg14EmF1OtQsNd6XJY9UB/1ez+cEbjvgr9ry6KiAWE
7oXadtBs49cQVXqlRcB00kYfJc+eJY32Zbn5Q9P7kEgjkv1h77iIhFQdMbnuasd9MJT8qEN68TJH
HYjh7oOBxWVE4h6Kg1nj6U7oNf7rk8u/mEDzt9HF+09VmWfKTCFQ/Xnd+PsH/ja8CHaDhGc1qSOP
aL36fdcofuG3mF6UiVqjlGCh+Pv0otCFFJlb+beY0h+nFwunmb18xl9DT+Kv7BqFvewSi3QKinxp
bSUhRa+pRYZb4wxTpvKWP/+DHMMlxbDxA1DIB/k2HPOLAVYjNwAthD7rAzV7Nz3nhmuz8barS0n7
mOekm5jd+6pryDBhU+pGtFhWCM0sjqMSS6bwzu7jl0Hw+EwcoNQRoB3IfCz+QgX7tgFz1ZxEeEG0
3bgo1mbZOCu+7DNms9F7rER6rQlkWCLfNhoawuRf8w95NdJiV+fyCNFkbYA65Jh7t4axg5XTftFV
dTLzYiT+wFquT5JDkZ7C2bOPYqAZhp5fbLmgQdJFCPcoGcDQkF/zEOcy5DwMU/IeAC6evGbT0UjX
Uf3QsyiFdXM0h+RaJ9PaoRTUs4I3G9YeNHng/KG73OwIQoRmej85aeuds7getshy2zgfN2ZQnDK5
rboABw84KkzgqRhuZPmF2wtt3LkdDWrZp4i1YPiFeFQP0zc0wL0n/Gco+8Q5VmUrr5wRr26d3ScR
3y77PqXQXYY/LEgYjqNpzKBCqdv59Z1qr6e+Wnko+47lQFwesJpivhvJ2hr2KXEeCgLW0gO3k3P/
KuCIanmphu4tL+8tEjihiI+AOsCs5ER6W4MpZhrG49jYMdAK+2gwA84FUBMcInCBPzxOq9wHQWLG
7n5cSDwae9OoOjhlOa2BGV5VG3vdXz9w/rWuSv9QKZY7zH98W7r+n/+j7srvf6NkJ/qMyncUvumP
vtQ/fZrfDiC1FCWrP1pJ/359sn5RXJ9clA5gjSZqyO8H0KKQ8D9T2CTzTcTm3w8gXKsm1zqXk8tz
LZI4f+UAksuR+qcDCCFcKU+6jgBNbRIK+fMBlFu2osQ4khtEArYeGcs/KhME4+PC2jCpgZgGwpWk
xkl1R28uDSjHmbEZQHZXYdg2SdCJ8VD7+6b1HtnQAqkkLUPLXuxfOmhSgw9Mjqn1xvPGlQedg/JN
p9kTaWTNMxIZUY34xvfAEp2/zhu6mNU1Fu1IvfpMtLTFED2CWVXCM0xm7kLepm/8nyxdTrEcHm0W
1Apn14bh9ezWzaYs/adCRg+5tCi8JQIdkY43iETrtGF7lxXl2vMfCpYeS2waHN1+nFPrtSJUbZI5
HOddiQZD4Bo2HYh8HOjoCxu5ZLLnxRviENOmDgWV/M0rBuBhpmQvRlCNWDfQxIxmhl1N3FsvuW8z
y1/kr0lwIuFyBsXDGi7caDSQYsmNN3Z/Yt0eAJyaGt73SXWqOIaCydwUmONLjEqs6DjSDeuzmhVH
KuwuHDONzeRI2dFwRWvWFwPaURKLIq25GUm4Gx0oBxLvRZdsLWt4CUzvpsox/ruSTI1FSl4m2cHK
qdok/sqQx461xfKngug5Gp6nkToGR1k3qTA5wxL70rcYUcvZvJ2K+qMJKXWvzNfAfCw1pfMESnSX
w+hGZqjGd+6qa0Xxp19Wez0RyzIC7PcPcOSI69XmOSjv6t7nJpBtMtc7JliTXB08utWlnXOaS8VP
x2fn2oJgmKybob1uk0cXsak6zjOA0CUZ1dXhZlhcNX3GrjYFnEVYIE7S68GbDzGvyoL6isjBxWyz
+UdiD5Lyynece637Y7WQFmrqFhDhLyEwudUYe6esoRCcHr6RRGzhIBOFxmYuGhZ+ER+eGrwe27Ue
nWvROtcL45z9/2ewILYcW97ZBMxkke9nVXxApbuiI/Oim/K+d9UdJMu7IA1dGoqB2g6CXjhg1p66
JofymM7DlScx7Clv3lt2cQbmHRP70A+JYuivQFpR7+1l0076Niy57pyIAL6Bg24yOsccOwQ8ChOJ
hsghbYTnoPKuBxssmHEDYvNetQg94xQL2AHBlUdBZWFEtzmigzMjFSaBfU28XvAq8419TTsm9Vl6
Ml6hiD2JwiG4JZXGY5VlDADyts8e0uyWFScmAKIxkPUd07jX4CxWZpRr2n2biyc6FncE0Wy4kWez
qJ4dGq5adhyR2U/vGaPQtsel9GAPQj9AAEGIryl3NyHeYHMbE2woll9sKIa+1AF2lJLut2aBHnE5
BeSLpKajr8AOnmiOadb/X55sL6SLy++v6P3f/xT8/+9//mXzt18H38XmvX3/0y+2uOLa6a77rqf7
76ZL27/HC5b/8v/1D/+NAZjP8jiV3//tv/xfOADOfzpKr79BTv/xQfbb6pAP+odkL8Bvmajh9q85
Cp5V/whYkGq1iVaQVbMkxqrfn2LuLzZTtPQsoX59vv1Bsl8IATxs4AMoNtDYif7KU8xzzX9+iklW
ndgkcVXxBfK0/fNTLIF1irXcdTYs8M+WY527GSVYusGjj7WwVTUtw+Upt30Gt9x7S12Rb8BBPUJ4
1/iJ0uxULOy2jvJoErPksAFQwcqWBOAws/TlYvR2MDyJEckrNhnV8/QTbO6PaKI0TNTWOZiwSRk+
dLyIKyolysNrNNktmX5/Qx7J3+LKKphAo+emJX7YYAtvh4hLZS6fZ6me46E4agQVVj0+f5kf0WcK
1VX3T5aTvomaYChs1bdMm3eYZZ6GUN4D0RmiCNacix+21MQMa/uSgHJu6GGTdnZTd9UF0sxayBzt
R3v3Rk/rWpOe66jrtxlrlq0/UDpeza9qTtn9oROZZXfMKuAqjfFe1e4lEsmwLZlanSo6AvJYJ3Tj
ouC48srleBwCe6fc8R57xi1btS/PfGNV8e2YzapWmtBdQBFpDfoMHeGp5QeC7SfZLzyHNRG7+9nB
rzm6+7Aur1Qo4b5XyMQlucYhYVIYYYQvyMV7vniBfzuy7zT6EAeZe23NwZHKiMuQtWwQi+hGR+Dh
eojAMauScAiuZD/b8AuHXSyjc+JjxDDpNC5MJOP4HX48Ta8+zTadQa+xmnGN8cLxeGT77RXxV05Z
28caMXnvHWDQ2AkI9Fllu+8gypq5s+UTbAsz+Yp99yObqhPfqH4v0uyrmtIFOnA7Ocaz7Jpzn3gf
VBWeEtrNw7i/NcrxmkeefciH+AEfAXqvyn/mc3rVFnqHEhSugp61iCM7eA/BnUW0fZrGK5rOGIUi
30JGyj90J1HExDanPa9T4lUbgBwNbW8km+l1XPMIbhwQq2XVviZ1/Ow1gMU43C9AXEBKJuo0+8nV
pJamaoelzkAuddYI1WlAhUIv8bXy7v5UBGyAUXqryvXfI7+dQHayj2IXA1agay7Z7KFtBy72bSf2
Nx0SezyqrQ18Lkrq17nW32FIrDqERoNQ3pAtbHpYbhIRKFW8U5xhka/h2/HUhgSTUI8IcGTrqlrd
9DNGi6aXeGmrGwgCdNt2eXdC7rqPNHA6rkIP7Ms3ogeRHanqRxsDUWgc8730mvuuNF4Zj04+tG5Y
MwiuTtQukiEhwPmQzuZaYkX0xL0NfbVI221W6uFHV4V67WNcXDkYdwhCgxuwFgxQGp9A51H6XnTi
OvQxqcRz/pKkiNh+YbKXs3EDu7SGx5gudNY/smI3SLvgCBGY6CzWXLtCOgih6F6Ny/bZDVBjgwy6
6HgTYZ3xBoUqKM5t6cJXzbatywhaJ70DnBWMrCfOltXSgWfv3Hz51pmChESNWYS8pTjL3jyNUoEe
SL0TBSvkC/gnNzL96hMFzXeAdhDXEC+0Lq6dQD40A4vmxPLuHeC3a1rlvsNY/sA1uxk190v4h9XK
xBe9ylLr0AXTK0HRT9x1RH1t8dEO6LSzOTCZjUdWoMR/Bob5vNkMg3WQY/CBhwufCh9SQ/2ZIyLS
JXvD3proUusb+qLb4i4rESQzSSvU3CG1cxWmKJVWBGgD8Y+Wn4k1EHgwDarfs0evyfdpV2xV5ept
FEbimJpouh0EhW1RT/u+cLI7f3HHG7xBDyNoW5UGajVMNu7IiXa3eG/6zjqy0uPA7hSzLVNgeVuX
7gv8iB82NhiZdBtZlnsjFtvZhxTVkHf2mbxFrzeSjfyqsQCcecFCb42HrW+hjEihNoZEQx0snDBt
H59mL723U5gCOaTbarL3/gxWcRL20Z5c4JMW3gVzTc6GCurauLKd/rvmzNdxexu7/oVtwWtuOYDU
Kp4hFpHYK15jauWadLoW3odXURjjtjitcLPIM52hcMyaEi59Q84lFvd9EL8F1fwxDnaA3yl/ygOa
w6yevoQIO6pNM8cD4dWPum4e3CZeWhUgh1qI92tmyhc9hzkQywAjT+YVqz4tXoPav8tj+W5a1QG/
z6eaCn8bGsnZDcgi21PukAEetvlAnn6UCR57oKKbOoL3puN+jSbPtJjqV6mxMw21s5fR9BikwjhV
Fa8KqX+wneO81uy0Hdriyi6/CW2iJjH5bszWJ8ePKI1qbiDMsxbynCMHh79q6H5/SkdFX5gH57wV
tOYVjqXXXII4IBaRx7Icc+GhDssPddj3qQr2KiBwZCY6RG8GutpLYiyt0fN7XflgRTXJw8K+HtOK
qsUZf5Zl9Q9Cx5QOx4dw8nHQdemtO/eHqHGeayqpiFRW5loROF3RIPCOi4VGn5KCtjB0SDZBr0oV
K3h+64puZxufgj6RfcUVnOKdqU1Myk2tydOMOPgk2GDPM+6wkVd4Q/IlkWPSkBMx8M6UKWRF/sGp
OgKzbnmiuirflKLeU63EWshRgFHVR0J/nRP5u7Yi+NMJBZSay2ZY5Z8YX6DY9VVw3Y8k5jujh8hB
I3JYqEeDb7+kUIqsAokdG39HbUCltPLxte29+DJNTrydZ06ZOYfA0HbuQQ7Vg5M0T6JsyrOOzG2h
0m4vovSjjSK4YyQknippfA9j8BpE/fecYVOyeZMCVYrZlYl2DQQOvxQ926NJHQYmRK6UWsCD6xzr
NGBYuURT+OXBsPcKNlth+xbhnQHr3zTrJAvttdOY97PfyC0EC9Z+w6vmsW8ZQDYdtWuoAbBcE8dh
cORp9VI3FZUYZF6GHqsBC0ATho/BkLoC67mCR7YoXpx9RWJ9NUJ+Z+1wTEbr1hzGq2SRtRJKkzLH
vBIM5yBwLunCkEczFp5zZ/bW6+CoG3Dm73xTL8FCRhxprIOmH2Jv0EPy0dGc1xgWwFO+G31+0yfz
dTsU7/hSHn2QCLQc3dc9pY1tRO6qGpiIPHYYmXrI3e7MSbV1jcI9zmImx9f6k7vvspwcj1kN53AY
Tr2vxLaW5k73hNSypLyx63CXR8mjMlk9KoMmW1W/QWkNtipxHlMtTs5U3lS4Rsv0qYpKYqkffZqk
W14P57gU39ol+2TyAu/FRao83ZgjDtPCvmPBhXMEvgFaGVFg2T8MQ/xI6UIAHgXNEavslTXLzz6z
wm0SsGgSNooN/Dr8BO4DG1aofqSd2jDUuK3k85hMqySqljv9Y+nWZAstkeEjhWGTdP28s7IC5Qw5
au55L9fdA1B3emJse5eESC1LJFTgaheeewzpfm08KJGNae8NV17XvjxWdbg1mSTo+zrZKn10nVCR
+w2JxNanRoXnKoQ3N9T9No79c9+rs2HzYOOavBvG+NoICtbm0QpQ+qZYmJguKS4FvDK2yGUHgSTl
XDN9F0+Q9bYOFWt1NBxKi3sGAgXcLfr+ymDYhbht8CdF24TxpnT9Uxukd4aMwAfYJpzC5FWG9cGm
70nQCWp5wxZgDVyOKV57vX3hYngqY5JYXtYtLtoJY3wcbtklDsdeO8fGJcicAfuqR1j2Sc0ualAV
pk+Xf37Y1Wo3OVxYHMl/RgXaWrlWvydRqo4ey+YVSkXMRodGzxDY19bgvUsuZKmQNr2H1PHlMiVS
qZcW0JR8+y5lzMKW4GP+FISUuccvPAZTVfplLjoeskSpNK2wte3QGTwqmmO9bt0L/Q2Ef+OI1L5p
4m4PbQ61YrCvmoZ+yqxBOjUsubELExW7hZth4tjVcXOLb/MnpleuVqnbXYZZhHu/4vvvK4u0W3tm
rX83O6beYDA7CvhqogoTUCUeBXPeS55n3aptl0GHdHgsrYNIQojpTf7hd9XTlGTWhgNjZ4z6fppx
NkriJ86Q3Jlz0RMyz6KtdOernknclhOc9Nkszq7Ebawsn6xM+Y1nRG6y0XK3Q2YSj+kfAZdxNDf3
5Cnu3dr/zhYijSXTdjeZyVkONCa08QFiGPVjZgo4NfFX0I1JgPDUoz26AwEtvLWhy/YUeiVCdFX9
nIL+RojpLoSpQb/aSDWBJkRdB9bHX9+L/EtKjMsm4T/e96/e0z763/ciywf9thdxf2EPD/DBQ8Jj
uS7YfvzDHOXZNMETBHOWdIKJn+p3eZFXjyL7YCqlJSLkH7f7LgxTSM3sTBbb1F8CTyjnn6MMOF+E
RSzCcUEMs2UhwPFHedFVZtdFhYRhVEQvA61a9szNfJo7Wl21vMtMHx6Bh+O4LpIfmhA8yYgfHIYH
t0/2itvtuumjC8Sp7qB19tUk9JDSpPRO669aw2d4iDhB1nVnnOtZsGtpH205ZIfe5UyOnHw+DCy1
46pIf7gRdqrUEVxB+qeuM69K/IDWIHzi0vKBFlLizdEpACm34B1YNPtXRkJVT6ZmuAk+vxsLmlbA
rZUdDxirBMReCLE1cp6GS96/L51HzKY3vHtpqSyijVH1z4GhQh7HKZHOsf5pzMFpFPV5roaXiIpP
X4V3tZthSxmbI8XrRzdpa1Y36XpgSZ/bKX5IdqNhxUqS+gBKbsNXcF0pRbbTsGPyfoGeIOgqHTA+
ThhfSjN7g6GodtVYHVrhiUOVip4rT1jtXe6OxwpUByUvDL2embpLDI5O5Xlu1k47nA2xNLgIygeY
On5KvkkfaVkPe+kDY4DBAdsycqr6G9makpXGfrCCTryoHKdM5vTzlkT8T1fZ/RIJPRY0mqykC8or
gPuIez19S8vs2S1Ha2OSZRsDQuRWXu5Fpx+GbLgVAUi72oHdHzQcj27Qa4B0dOq60TVZY3ttRMNN
1ZkTKKiE8AA/m1gex4xTV7isQmbwaGMm3qMGCTqq+LbTDKNVmIPY48Hh8EpE8PWILjjth8Vz20u7
F521j1VP4K8KiW+EDt/oeWLtHOJMoXWkfcP7+lSYOJUdC0BmI910DxCo2hc6sfHxBhc/Ttd2j3kp
LxhMSyi+pWfM65y8Lv3tgPOF9WIi4DiN/RqozNsYNhedeB6/27C7ArTwxWMEGnQ235ZTsmxVWqRT
e6AUWTvc7vR3b8yEHwtNbQopnLZEeZ/47dyLcGtV+8RIGPIxyhH9vKVammegnsp3JJBo74vmmsbY
a7rl9lI2yaodWUVkKaG3Wpkw4LhjAo6huMqwjoMRlj9JCgQ49SqsikEprk38e9LzAcxT/ujlbxJe
irsY/VxnvgptaiSihTpczultjk1pk+IPBCgCSlAasBJs8he6FJdksRNaS41e72ECgJ/Lfd+zqD0I
sgaoCSVPFnbEOLYe08WfqDAqElE6pYtzcVg8jN3iZkQysF57DI6d0I9hNN3TTJrsKMfEBNmN5lmn
yRMFgigRUSb3M/0FlABrvc7x1TDsUeK3OCslAPFSBUjymC4tzJfx4sI02Bavtd1sm8WhSQsntRJe
E1IZh5XTb19SiAzm4uvMKVTb03lX3tEbRVAodMUm4qhakhpo8KazCYb4joLwX4lRt5MAWz2K1n3n
H/SjxN45QurGUM5AA138VPfBKQRf9ljnFrq/Nd9M43wbW21N9eevc51f015Xe/Z145T1waMemnxG
lS5sm6fYct9KuaAN5uMohwcZNNezrPeW7901OLZX2stuuym/UQnSXVimt3No4ejPjkob66BqsH8m
HbNY9uZPTBKN3d2h9d0xhmB5oNi2bTk9yMYmCsNlXXx05gx1PP2KAmvPWHp0HHKX1rSe8uQVvlW1
snuisHmweKJuimam96Y4GeN4HenwDI9grYf6zAnH+4X8gMr8pzwp+QrHn/NogW6zTlNul5jeJ+oZ
qgLfNpu1ALLGKmzlgwI5w8o39cjGBl/2rMGIJfHHWA+3VWJ825JOwcijf1ZctO8AtTaPQ939kIEP
uzRzjh0ek61ygs+pzB/dhq3NMtH3Lub3fMo+Aw7ATTmxlZocERP1sXwIFq466G4gJyzKy2SDP/DD
G2NmxPeWCo8Zn35dVjboPl5bJJuRdrvPyvdfiqrbFHFzZbdgRfIlak9fSscJI7xoT2pqj2nyWVXO
qbbMS2Jnz0XK4kUS/HH1ph/7h1RSnjU06dalIVAFBCNsB4huvklqoHC0sVAIwcJlNcekYlVVsGmi
Co1XYxGc47g70SpMz0Sg0Kfdp2Fojiwo8tUsQPJWJFezCTdMPLaXSFI65tUTxjubC8Mqyuqfwfl+
zNj/gOx8zTLBHxfeJo+UvsOq7K9j+lR3duKmPzPclGXFcy20iQJV+eP/Yu88lixH0uz8KjTukQbt
wIKbq3Xc0GIDi8jMgIY7tHgAvhnfix+yVFZN94wVF2NDsjdtXRUWFepeh//nP+c7DcV/BmHCJQKN
s4nmR0XHC5H0UL6INOeU6qRpCn4tng9ftvBGto9WfO5K+imSEBngXzfHH776GWr9z2+O/zgM+8ta
bf7M39dq+IDI9vtYPBgBZw/a79dHG1CAizGEBZnx4yO/XR+BnTkOCG3WbYJP/7kYgvwsYhbeEHvO
1/5Nbz2uqL+s1UjCOg7PLQM6GmC1eYn48/Xxj/CKhI+ovPKsCo2eh3IVGOnGifFI1VDzc20b15cC
B2hM26frtasyhqOvLjSGoYix4cnv7BAmhrkc7FcTC4INCyrccVkQLKqmgftgtCTC+FTMaZDJH9ZE
Rg6Fyr5aeUQ2iX3EVDxSOoXRzHJWgfMycXrqE6V9dn3v2qpbR5QpTDV8Kt7LDjyjmHIBzHFAmJup
k2sHA7JFRsUzMed6VkU1owiLx8CzvE1e850LcYEsu/V8bU8iFh1X/z7E9tpW6tDpCSGA5Jwn2XNN
RtenEI9iAzR5eCoxGFYDcRNbHoEZSaFPb2YnIvxE7Ts02mIO1VAH+xw2zbMOIWvNqokxVeM69VIV
d1Zizcs7z+DnBuSzbJW0ZkP2cye/TalFbW8mmc61CGbybZe4S4mgAtwIOUGf9DUMR2pwZbnRSf1o
pH+GsDqJyF5PcySod1MQ5tVrbmWsldD69c84yGhFNXckKd5qO4NnEu/zwuhZ6IeU1JSo5lV3mQIi
xmk3wF2TsF2wjsB4keLMDuECS2NFdtsC8lIRUsqT28ov7/0gpk4LbExQ30GmQr83e3oH2FF0zWEY
xAHh7mTRqa1IPbWkn/r03XM+GowavpMv20neAOzktHw3ASP8f+9X+9Xm+h8Mr22dvv/b6dX7Y3p1
vvB+mQdYnxc6b2+yM78ePzBMTGgjHthEimF+vPN/O37cLyQY5gg+tEW+D4Akv0d73C/YQQAtcqIx
3P5NuL8zR/r/5E3jEBP0CDgWCR/gjTbf3s/Hj5KFy2HXkbMeAFSpEYScBVP7ZHh+/FmrweYmnkP4
0mPGgmbMZ8PPlOyUk5jLyKjso6RhYtNREbDV9VSjvcUMjpYZBNdJ6ITPx4kSqjgssmfhSOL4vMNZ
MI7mKaVuqsL1wu4/FhTD2DKvNvrgVLxXwnSrCsz7VeB/jlUIFTUtTdY8fO4Uu89UDh+aivrhiDNN
zLOGSTvwoimMV1p9+Vcwr0D5Ui9sqOEIox7OY8cGmsOiJLjcPE2ZcG+KwsH7GpHbB1acLwYPsL5w
nY8uDy8RUOG40Q4OT5ZlEbL9lgFaMebPO/bZ2zievrFh3nU5xX1eYhIT7OmB7qJdacS7geoMDu4j
Yvuzn3nYswbrRU7uq17h/gM/T3UllJF6yEFr1Qd2Aw8ZX3AB+XGr2cEzUp21gDhtrKOq4BYVv6a5
/1Jhpcr18EpyiJ9X+WdRivdSMNcKlSuyi6QQgpyShAmcXwRXKTdyrlnOGyudlYzjN9N0XxN4tAEM
q2aGWdGMdNYA3eIUMM9Cr4vFMKOvuJLqi2zGYUUzGKuZdBBZU2mjH/8gZ+kzRAuFpdwlP8ha7D4s
/q563S911zw5MRhnkqHutdHM+hgzAUWB9pQPebChFJGG2DG6aaNhU5qJzxW9EuuEF+E+mmjw4q+R
UqY5LxaghkD2tkJ+Y+0212W0Hc0m3Gia2thjtZkSztExZLmE9nNoyuLN6MZTacF0CHWXAbpQgJT9
+ORV5DaCTAMaOEIHlfn0wWRzMyCg0t/ISsPP3nk2fqX2FEk+C44oSjddRd5A6f0tgwkXZXMfmCgW
w8glzxnCY0zqJXbCZQPcMoNI1pFca019rlN5KmrzRsiGVxyQmtFeJX1/Esz/wgtxCjr2M8iEdy+o
XJJppKDqKNDpcIUHXLDkvSGfT2NOM/CSUFPO1iAHdl/lpX8eaxd48qRsdxH3ffmC04sRvaymaEGR
ef00dBMUfyXe4MHRFafzCAxDfTk63V56EHccVi4M6wB5lLZIh3wXhEBmujHDImBXa1fFt3RAi03K
bdvK6Cc1QcrRBLcJOcWWDUj8EncqixmJ8aHc0WFDhB8umUngqvDMB6fmSeoZBsTVkWJ2HOKxTVJO
G/Bp5+KZXuqB2qriSmqeYdWg367tlrGTPjpleKTk/G4gV1Ohj0RWfJenR+5NXwkI94uqELtEjPf0
sD9WlVauhB2xNOm5fARcV3RvuAc5jQfVa5NTr6FlyCZaVnRnLlskZNaBuOdZi0MGNCtUCGVdDEad
0OSA8aZy01bUMZthh/IVvKSa9h4YCVQfJ/FJw0Az7GmEhItC1+TUQMzsjkbXjusRg4L0873njJhA
auhkaOI3Wp4+GuC8y5DfwyDCTxK6W7Ppzp4S1MsW3cmqugdfBsem9NYjSfCFW+acmpX/oGOpcYz0
kXfjhpsp1grJfKU+hZfuwrb7avtzmUl+7rkyJAaFWHb5HDLDUqR7j9N/hqueh6bZyd46+9l4MAqg
eUChdtj4ea1R+q1zJ6vYChdTeme2YutPJOpkGUZclqR7P7SolTENB2HyXumBjn9Ux12EA8kxhms8
+OeI7me2xx5dYJhrKJL0HvFt7MOco9bJtIup5fuJQOEgu61Iom0LIo+FA3dLFLselYwERef1aBNJ
dguQ1UJIgq7Adpgwk4tIyB6W89Yez2EDcaKhQszM+33ojgQHnXIdsZcNeWlWfvSgWRK+QHZfBS13
w/Zx9JIPUSavfcbm0KCAEiSTXNFHcY2x6cSddmtTF1iJ7/HQgrZKbjIHHGjI7jrKXmMw3nEEdaY0
mdr1rGRsf3a5LOUQAppAXKpaHkY3uAShAoGYEUagf2sAYC9H48RaAuS4B/Seh2VtmQvpQ2dQ9nDs
Bky9oeNfpfCeAl6lB8tsIX8AHeYB37O15ypXkahv2cF1+QFHRnsYKvFuiQTMVdBsYg/HLznAVZTH
N4bfv5aFccEz76wsHVvc6IdrUAXjOgVASH1XF11UnR/1CS+bsI2HFFkG4vdwizP7anSYTJoiOlvQ
MvhDJN9TcAgLilk/JPvfyStfGg21WvO91zCKymXi5S8MxSQ+B3zcFLXufcTWC6kZ0nqDU++Rsg+J
X5wlJ4PRjvti/nnZ8XM+p/kbsIZu2RWRuUfVOda5vgqayL1mHlHENDT3oZGd/NDfCgWoEs9qyJFB
ZUBjA7OlHaLhPSr2vZdtwH9ydgZWfRCR1lGxYB+ChsW2W9RvbleEBFGAKDiNPKMx0OXYZ9QKm+Yi
IfGzEEl/Qgn0YnyA1LMGGfulFkAGpzZP0rLNz6GaPusqo/XGhXUe2fP8Egf3QRqeY2pQPpOWqKtG
+TeyInxnqk86HjkyMD6i0nQPAxZsa+Ewvy06QU1y2+TawXTFLe4y+LwNKXyZnv818v8Y+ef1yj8f
+c/v32TxD+7b82f9Pu5jW3AZpNnUYJ7z/sCUO19sAYF8voSzpvEcrrq/3bfFF27ZaE6oAL8GPn66
bxOs9U1BKv/HXfxvsQH5Fv5y3yZKbzj812xkB77YX+/bRTJ6nCVEJDHbwtyGOfdVs+E3JMZRL9JH
6v0euVXRPj0OL6GhsZCnl1pO0wW28bW26M8WmGYf7ZT7mKPGs2kUtImU4Dq5VzAxUlKS7S07xwZT
sQaPerEPBxlsBx2/m54oRCycEUUgY6TK8JFXrsmNLz1FNplVGeguIRAR7Hotvcim3/JrYweb0Cyr
EdPkyIYGOJK097MZycMbZRDZq1Ukz1GV3FkK5C00Zf8gKapEDhtFQg+Uu9VDqMpD6H7FixVAZhK4
YwlTd0F9IwvvXg7OXUmehKKNjGdnxNjxbA8u9QVtYj1h0XRXSPjRMqxHHzG6g1JXl9mqBSVq5N4u
hHbsIh+S+1pHJsdCZQ73vASov0HFRnD0YvVUzqIFQiRd60+xaLYmAqXbqrn4m+sx0qWLhFkgZYay
W8VV9KKQOFmR3+P3wdwwq586Mqg/66Eo14TqkUjHAHMCkqmypnI2aNo7iAcB5FaUVT9nFx/NaqtE
du1n/VXNSmzRgT3u1EPfJV8DVY3rANHWpEMJJG3/RpXUAZ71U9m6d6WbnarUu5SV931E/o1nv58A
cR1K62WYFWI5WdPSL/R7Syu+psqGxhdVHM8mue9eu2hzcZBWe1vup/FtVqdi01U4GOhEDtaYK6uV
aVBXT5vEM897MuUGXps2pP3R39J6vPaKHDsE3oilljXcCi1Y7551ab3qWXUNZZQNIPE60O9cu0z3
fGd4lFs3u2Oz5B8mVkx5TdIyHLDkhJ58bYIH3YeVgNXuJL30eQbuYAAK78bUlI92VJLmTk5Dosq1
Ew4ZdGSDPZqNca6pICY2tXNqSswQDTflHazqac+lql3VuvjGBd5ZitK46pK5JSt0OJLTruXKqXOV
LIriZoxgK8vKH89+ObEQTTFOYv+65qU6EAjnL8U304uRSVePIbqXFrF6o1t0CQBeCEWsUGojWhFh
ZmsEtSvv0xsKvFZuqK+DYFrDctzZCOZspWlrV6vG4RlHo2WLmc3rWixgvYcAPy3jNrlr6vaREDqe
r5y5DPTwQcfvPuDuWeJGuWZx/55qFIhWcf0SdchxGo1eBFKnE/6EhqUK7WlMjoldvoMSuCiAmLwe
QXz75r2E85Q59dHtsi0NYRu7Mp8pC7rWSOnsvFjGsJN0qd2xA/humuQWH92OIwU4unHFV+SwkQye
0AS2fdTtYy2/+MZdy30jx8xrYOql6guSELZXbfb8trMrBRNwiRm4wRTczu7gsZBv0QB42sU43CX6
fTQ7iQ1nulS6GR6d2WXsJfKmCBQVPNTweLMTGeTb2jPrjZo9yubsVhazbzmfbbhRk+Flxpa0xdg1
V9GW4KF9RrBCOO+uKV9s7lYFF8oGc7STB9zdRQ79qUHfl3p5kSmUgdqDCxrN/upSeu96BPwNlPLK
xoItHIZvxxm+CqmxR+mzLZYDODp4TThm4IJy5YhnU3eDuzulOowhKHmCOfXijaVYW4Be6cXF5GPG
Wbtym2JtC4z4knKcKR6XLNfvRpVeBm0gEx9pGqN2f07i7KRjPvdnF7pNLc44+9JF0r5idPqOxIih
sTa+xY4f4jHqgJHy2sDgbrBj7zG856I8jh3FEBo8bwzxqku+mbNDHnrdgU6FD4V1vnP7tY8Juhva
XWEqfWvRcLXssNuHyTCtqDU6BX7+oet6c7IMrMrgFGSCmAxdP8C7X6VzXBE3v4er35mcVYbLX5Pp
sWRKp+OVxBk5AIjUG0ELeTAHBFjL3vRE2daC7EASxXufLEFEZfdJpzvntpyDBsigd0BdqI3yGrnM
eiaTOZbgzAGFmKSCKFwmhwJgHbOKSZShINPAPIfndWwea9IOYUTsoZ4DEGgXCzGV77n53PgZI7rn
XG27u+sITriML9YYhlzrkqfaHb+1k3kf16T41EgMzWfEcPTg4PPwIJbQvvqkJ2dHsHnKR34DdWvv
zTT+tEQINq+9JmHzXqXDKbFMAHdVuYgzZ8+BCACRaLLePVdYTfc2xvu0NXHOetG215wjWk/JhDMN
d0NVPtgygKJW72ydSltgnJ+UO9IaLO1hgdME9EgK7svsLPjWCGPuMHzTbO04Vj7lVniWydRQWvwg
vWEr2/K+xZG9cNpoL+r4HEjv1hMcN7qon2U/O1L1dB1E1YdsPcoWpHWNE/NltCcyLfVTT7pyHL6r
bHrRArXDKP59rNHVlRVdgA4T4Bmyg2q8Yy8bg0McaZ76BZrEclbDrfNsNvVNMBP9Q9D++cz4Bwwy
rIaZ+88uHYZV39ylKUOVMbcDKG+8nQF1W3yupE4JBC60vviOuLPKNBKu/dw1kFI6kFE+0NcT0zF1
BC21BLoCDDbNRQVttEpFdHISY2sM6joM5b0tC7HqqdTuYd91Fr0HfdJQJzjpDxaVCKGpHgIqErBK
AgAraX0z7F2o0aLQTrBzsukbNsKG3WfAxpF7j9k7RxXTwWA4lWDLH+EFjpJNZ7W3TVpc1ICFZJLB
xe2HXTJ3OoA++ebPLQ/gOIu94Am20OL4tXJo3MAI/Uo9kkn3Z/wBeJGH9twc4fXWbTJ3SYzCA9mY
brnOUk3AFnQNVLGgimHkW+ThHFBKYeMxFHNLRUNdhT33Vkxzg4Vm1CAMkjBd2XPHRUXZBZGYTUr5
hRmFz+PchhFQiwFcCJmkSz9TvV2OTX7ow+qtHJsPrAJc4OjUqOdyjUqkTyHR9mVN70ZH/wast7U1
F3IomjnYHlDRwZ+e+kludigsyVzjAY/fXyZY18u54sPzq7uOzo84jo4FIfnG51flZiRbssTBz4hl
vIzUY8RNUGUos8S9lvZQqS3Gff1V+Si5Y5ccx8EN13X8PDJHJkbLi2c+6Zm6VrJ1Nwh2404NuFwM
jLg8VwOfv2icc9XjF9e3+nfPsR60hpABy3nt1q1JLBNR8hepFyDrOqHFG4LsfxZrGUeep7PmyUee
XjRT4kPl1J6IbqGCNKt0bPkKlo/fh53bzkKMiHOw1R78oWNhI2dYaaR2mMavYxQAkZ/0ckW79Qd+
l+j/YMv78A+bkf+vLadygViZ/xEYvq3y9+zPM98fn/fr0Gd9YbvLfsWxXeEQXfppx8IOl9wkmxIM
fzrL1T9GPpYoPMP92R04r4t/Y6fNsUn6C4Qw3F+4an8nNklI4q8DH+F/vpCtg00zsSrOH/+JPoJZ
vw00+i1WLZhQ9odA/OroOjiw390jZVGnvCIRHAL5SSaXiYe4ERYBGLVkkAvCyAahZKCpPPca+zCn
/EKzCKFS9k8JMHM7SvVtqhs30HRPvB0eesM9WyE+lMI6taShtZRYNAjm28R3b4euuktEeAOg8VTU
1YfZy21T6oeSDLVGEn3JA/vr0GevFC6eVeWdHR6BEcnsjIS2Pke10V9WIWSjxuYaKqZNPkCAx/w7
rzROLisKtrfakns5j2fc6YjFrWXfTTDXqmpc+XNOnHxjRG68YC1ZzEVT0thpIj+jruJdM9cVykyf
wzeBD4GE2t1YrYSC0u47g8jgQz+e+865mciuu0B7Mex/0gS5QBSzaGytLbXMhEedMpY4EvC9Thmx
cZQRCC44TJyoKxXz+8RTZttEXMjRu/G7N8fqoyLHjWlwJTCX2vRA3BYxmDW713yAI71WgYPsKlrn
olIM7qZzU+b4KJP+CSjBtaqiU07EHaeUdyLE+0SB1cYsR/pCByT1uNn6RfZN+vZNm/Vf+yg9amXj
HrmFp6HamfAOFp7rGLewScJ35ZZvQW4QHvQlAc2pqq0Ho0AdNVVArj6mk9YV8nasC4/sbOPsqxwr
qKhb59RZZNJaoe3o5lbM7AMPvIbzbRQv40T61fMxQGHP3CYeRoFMFJsBY9FD3pv6Z9FKOgwdOTv8
QClTpWXUdIyF/BnohCL6QCWiDtRrGDb+QE9I2G4ATMzTTomvFK+4jHbtj6B77bhnTLAUlhCC7/30
6s0hFMLxOWfk27+EsF+EMPLV/1wI27bZx/d/yJTk0349FBG1bJyNPqFy00H2+uNUdL+AY9KpwiBr
Pjde/OlYtCEouQBTTFjwP6LmPx2MUExcDygxOS+2g3/nYISB8teDkS/ACWvpwjUwYlt/8U0nrguz
p0Zuzt1gXGU2Lkkn7UJcC6SGjUJkZ6exDi1nyM7s0K2UdcjkbaCjTbjVsKq6iCavcZ1ZWvysO8Gw
Ni1IZgntH0fNGrBjz7H0JAh2HnAUc/TCq0kN5TAdIIpNB0/kHG2GPhHgKd713sjWY1GR1ambx5h8
8C6gYLLN5c7r+2LFzkJtJa4ZUn27jovtY1aG46PWLoKh2SYp1V2i7m/ICkVbG/TKo2YSdjG96eQw
Yq9GZJvlxBIVw0dmn9wYCUsvx7uqssVZRHF9NeWTnew1Zct39noZBqCUnJ6WIEeb3WOdNQ2CDYko
gIaJZY0XmiSsbc62CgQbwamwXgZ54W8D/w6xazoQ+IWOn9Y1m2ByDDAoibeV5av0kdZHQz6WBZXD
oogvDeDBQ17wtg7jpd9U4abutE8f2+s9kOd23Ta44IJmlSOIlINv7IADuovJZuEkDS7K1HKPTaUd
vbJWpzKfzcUdyH4aQmgObJ2PLOm5uLPqX1l+0G9SgzWza7CrhmztHb2aFJ5SwDBpKn9rmzo+AQeE
vq28Tw7kvS77dpu4Fv5L0W/ZY96zPj+PqQPoETM+Ba7GQpU0rco6TTcepstdaOJ37wO2zeiY4zKk
qDVPBIV3sJBxSPs3eavRMF6N0ZsC5s2y51E6RIgU4E0XJRWDNeafMAke/YS8a9GgKeg51mKUfcvu
73H32sRPYxQyKuVE+hLQ0LIzmZZYTBr4lDTkLnK7A4yTC1tCVmUKiKGdwSZVCilNwwWM2xMWNa8C
wmYQagaqGse2OqmgELdJnl1IGzo7YzIPqQlQB8j/XHCnr0kRguF2er4c8lvXaPFFpAajoUzHtQX4
EXAhjTOpA1oBX0mxoQOJeKyh62enHeJj1yNUzf802On3KA++Zk1A6aQBGXL0PruiJRWvheC2efLS
0FbrPC0KxKS1JHlg5QfHbJ2Vrago9tvgzVa8bIL9YAhogjab2UMHgebw4//9+J8gYZbOvbbZWJVt
7zJNLtrpmg3ODbuj+D4w0Uv0XvFaKN2vQ4ABKrZwcYd5ee+kpn6J8uHN1VO21KEzLpKIRLIfdJI8
Vmld6kTSHky11DQ7vyXVAvA/iXPyHpUdce2hrfV7qiKuLjHURdoMztKZ3HE/NO7TBDFwqQ3ebTXW
9XZwYmuDGdXdhHo9LCL7OCUmgJ0uM1dF6dkbId1pg3d0ZTSldyiLtIA5DwTB0yLjMOWOfggbGhaj
sKcKZ4whOeJ6WTYmMYJJxDRfzzQHBWzGr24i8v9HF7PJBifLsIjfO5xApylEjOCFufc8RfGiOc//
pB2wZ/Nkl6KsYAy11r1oxrWbhDheYdt7rescCeEpz4XLQHekSThzJa2CeqyIpula9gNINAipboO1
pTXzdCvdqn+BB9FN7qcdDtYWZq3cNA1DT2X4wP5Ti8KYyqYxjqO1iuOjlgmagjJwOqn+8Z/76P7T
2PNPk1N/osf818DF/I4w8/79Zzxe8/h//c8/jT5/+tRfn/PmlxlWxgwsdN80f+y1fnWY6fNYZHC7
xyYGvdn7Cb/IlCMcAY/MnSGMfxmAdGyyrk44FG+q8P4WfhGn7V+e81ALCWkBj/G4irBLmw2wPw1A
oh4JcSUwCwhTp0+slDULeH6x81qW+UHLe6BkjUCcaIsDfZ0ongidjs5ApnZhItwpD1NOreU7oleL
iSpHPA0fHSp6WIUrjx5oNjjrkGBBA8i115IDdlDKSeIJNkvHQ9teoTmDz7cffRWv80AdRl3cx8I/
G8p4ELHOTTiwHg1TbBsNYHsU4CwPX1sv2phJdtULbVt7OGKHOXqLTyzXoC9INk9vdWEfMcORZi1P
WOw2LIupfinXbdATNUhOmj/t8pgKXeLdV7fVvgPup1qus+aSDuLW1oL6mM8gUSSay3UYwcD3vHVS
+euySh8bn+KNQRy10eJHIsCdVGdAV6/k7W9SJZ+MZHxhg8G+AgWefo++UXed7HHyZaP3UJM3Huda
rnHot3lC7ZhPHYZMd87YIAuN/o3dmNOiDAZoJbUlXgI05w1lzf0acZH4bqs9Kq2C0KJhS0m8F4J0
07oLqAhJRnrnLS1zXpoQhprh3ZejdhcFYldZ7jELs2MUBedeVtlCOo9RMZ6rLNkO5KjMNttVtlzZ
5WAuLaPJV51n7k2rXWcccZWSh6mrTlGFMZkoUJD1lxTbHjeYdTW08dKu3EvU2mePgkgvzi6ylrtI
5JdOpyvND/Lvek0TljYtRCYp7ZnDW9GOgsW9WwQvpV0+RIyV8SjPPK0RmejBSFLITw0OCrTHiEWN
jK6N5WzdOiHFXiCOQ8ME1FeY3W0gSdp0WEQc4q7k1u67Tov2DXFlZ0TtwhhjYTJfRD2rv7o6e31M
aSdtHgvLrJ77MjmmLYPUxCusUYJH7FCgzWohRTF9d297bKFoFADhEi/5b0L4IlflFbl/BfE/x/ih
mGTm/aRv5KDeiZuVOJgV3UP9wI8ktbe26s9pNt7k803YcyP1psritSn9E/EgUgc2i2CjFWB+dWdv
Qte8TlV2qBk9l7njHB2bqHQ51DVKXfxYMEYizFvf0lKRrnfPpsaaucJZuMx0FLFwrHiYESnnUmt9
ZuO0q10CMpWBmUK6jbMk8vHC62vTpdY9FI9oUyONLKJRnbS6WmuhEa8IPa4cLStXUPMUhrRkuDDG
flUWPfW9Od3WcsCV1kERrxX2oKloLilbggIpZOnXRbIsffsNWtHeTcuHIDLWAzWy6LikfZo0xQ02
EnqivFRFN2Zrr0L+rBb9OpT7gnIiHxcsilbzln1tG8swnQtvIUweJ802cKlQoSzxaHsZfz8EjeQu
J3/3Agh25oqBJaoSmmBpcGBy6dYsYcvFVDafEN43/NRHAeF5hQMU7HdBbKXuw20QhZ/stV88uAi6
7mD9CledS+l9memnNnJPgyluRDBcULmWPt2mldneGrK92Lb2OZXeY2zOTiXH+Bp47WcDmy4EhQwK
Rh6HRnu3wP3QgMqyBcQ6AICbjqsh/nQD3R1+oYLhl9XttnRAEeZELIn5VxuXtoopY4nQTysr5e7i
D9qOICGwuKy5iqEjbGDY5HyGO73OyIRnE1U04bYbmxfO2yMX0WQ1KvxfKqLMyk/Pk+YeFRo5IRjz
vVHV4xCqG21s1iZY6y4fz65k36JoZwL9vK6KTF9OipdAPcm11Gzo/MaHFrd3TWDtWL/wqqEfxVAf
6ZyuMWxyd4JOPQcSrt9py6gpbowwudNsh0APu6t14hjPucnLqUB2gTQ2cUBWRNp411p1+oSVaS4d
b795joJz13KKIEQJGb1qmnkoBo+9Fl6voYiepBHXiygMxKJwkLzgDn0jE7QZ3OTEmv3Fclp/mwTa
u7T6Vzoargnb1CV7vNc6y8tNABaDC1VKYC6T18FTr+wWPsOJHKUSuTxbteQxxlWWE5mJK3Ctb3aS
HnESY+aISZD1/oSNEVKYRf14R61OZMrbavDvg87Z+U5y31HYYnDhxGWW8T6Kkhuj11+UXcu10cmD
2bsQhsOXys47VESgC6N9QwHLCgzbkZkcW4mKqL7qUeykXgxY+KhWNJ1tKDjTwvbOnkoSlYqlfnTX
43jWInnKInuT2bQgOOIwjiQICiJz27xu3420W8PxxnUb5E9YSljJzXaRsJ8uuTsewjY4hPn4TJIi
fnJy/2vbSMlD0WS2Q4sKczJtvAzoSaG7uiKx6hUH251YPs82WtysUwGs1ODx1he7yTPWXi5vPEKK
S8igrAzKwFqZg+SNO8i7UjhrvxA5FOIAhBxJYmVoL63oli5WgyEG5S6VRc+ON2Nd/P62VsaTR/eA
XvKckVKwup+e3UC+S9v9sAC95zUtwDU8htBpQDnAWpVHKx8ojfQise86J+D86o2p4u+AM7XRrHWf
WatecbL4vrptBKEXeARL6EXTXaYP+sEPiLUs6kGX3wbhqm0y1AyUoo+OMcmZteuO+lfJSEI1emD6
NwFtkTljzZiuvCFIvrntj6dL49z2eLXJK6o17bUrGczX/qrB9hO6L5Uhn1VrUJEm8fCEo7d2xyBc
hWX23pBR84rhiPGd0Tnvv8IQZOMe7FSY4SENqQMPdn41kpJtOnMTeKyAI03Eq8nqEETMS9Tk91JH
gKFBcufGoXFPbzi+I91kbUVU7txIdTKSDGNgoRbuQG9pKpNVih3ApPSStavOVa7fIJjcCk3US126
4Z2rtXBwYriTDDR+uuSupu9hi8zIuQA6Q9yzcNHGcFgCF6vXgpUlQmsc3vOKdpjSZ/+Py9xSs68j
6tuDT8vD7JX2UfY6vIcKm4Vqv9MI4q8zuyZt+PcHmv/HNjS/xPD+XU/eTVh9/7cJGPGHI8/54qCB
z3AEW0eM5AO/jif2F9syfVYmNq03Fma4P7YzjCc08prwl6m1QpXhQ3/IkA6yJn00JGSw0pFo+Q3s
ef2F+s6Qx2gIEvTXf/5vUJKuOC2a+n/8dwIbfxlPrDkaaJCpYWdHmG8uyvx5PKmqOJy8EVKQUs3e
ZH295cq+bVoMtOacQRBzGoH66nQdzgmFxuChOmKgXfLNiDU2HH/PynsjSDXkmTJPQdNgcVPxczJn
v+cIBDqHuALhssClmCcLj3a/zLPUBDob9/f5qM0FKFsRsw+hxBxwzA7IwyasrG3Rq/LUAI8HzpLg
sI5eLfhBIGXLB9OlZm6yaUknDId/rKIlrJRb3lmPxtyoLududUaCVUjZunLBMzFP1fAnk20T9t4G
EDwVGnNLu6/T3NFmMd4WrbhlBGIqoM89ptcdyexBC8tx3RrygdK6VcpK3y3FyZwr4Zsg34z5OG+2
SdZNxRYeFflaPX8CW/19KBOy6/TLDxYtmrZyripzTu5cQu9klrFtICvMD/dd4jsvqU5lvR+NX22I
WHrh0kFLq31Iu30519wbHYX3iSkuWtS/4bt9MSkqzyPce6RNUAAb2z9K1V5LN1/68WBAHcP9G1sR
tLY+ArUTmfMjz1c9LRIROaeJHdzBwxy9oKdk2+nepk34WGLC8bL6pj3qGY8dqRIERK6X3mjc9DGN
nUZDcDpO8HoJywlWfLcxvrB6WNupSyKIiwej5yjL1F3obQ5GbeYUmW66EpUFRZQCwNXATZlX1sTx
2OEvnkgqteqU8fMuDJNvDQRRiDGh8baGaPZVo92m9M75GWTTaMpvYaCu8jY8caCpdQF6Sg7Nna65
7lcdSS2Ma3ctPX4IP/A4Sf83e+e1YzuSZudXEXQtNhj0BEa62N6k93luiLT0LmiDr6FX0oPpi6Oa
7jo93T1dAgTMALoqVBWOyb3JiN+s9S258VIhTmPgvxnINewSkYrWbyRayTGFNC0FRiUUqcexkXDN
6DwWrf9oEYLERgNaY3kB41DbM4EE3ZOKyG1EPtLWfJtaT2IJOBNmQSnHx+U05qc1WbD5QRkzyEB0
Ze1LZUvCL4unDEAf9/eVtKoHfCYvs5azDAg5kLdIZC621ruIn8oXrYFBzDqDoEMXEyGQiWdq1hbJ
TJ2h6A7n7sETqA07t4FmjL6mR2cTdF6Ez4PsGS3BcdHiUMbeIjTZKHjqzBWg/sw2CX/qIkfF08TD
DXZQbBP5d4/KZzCoNmot/ElqzGQCLZBbIOjzUAdNDj6QlhGdUmgJLMe5h0L+maIoWtwCXGtP7EnP
XrNlht/Ccc000NUDISUgvFr5uFsgvtYpg2MbBqwNCzaECTsUpAC1GhNryOJMnCWCE++uKYBzlaCm
jaW+IgeOUOyM9nghCJyZQYnWJ6OGXMmFYLdouSOC+zHy1a0Xja8JqZkE3maviBkffdC2EbjDjJjd
dTNiqM1ZABrSekrB4boeuBfjJyEXVO5Ecexpdm6lKbrZZOBcgokYiumFA3FgKAxzN9H03cYW53aJ
abcB8xYq/cg1qLdGCEwlJzeDpvgqQrAPfL1inTCHjjXrFx7FxvGZ9PYqKFAdYq312gxEBbuVyHZf
6VpJFc+pU8EID5BYIhHd95ovLEEvOkZ87uAtEXXG1lkjmFINY5pNInmhM5lT9Z3VRBxNJOicnQih
Jd3SgLcQa4hjlJDXO5fGNHIu46mcd+TZQusQGMLyuWBMG5bbGUVa3nnprh0Sqo0u/Ejc+OhErMRF
ZnzOGP52i2sTZGZ4Fk1Qmr5QKSdgRlF0+l7U723cC6o3v42e6bwVXgwm0pe48av9XM68Bv7sH91l
ui867VSsRwLO3Lm8rQsjPsqcLtx3sOLx/fJ4l/gjrN66CitZX9Mg4THEv8YLmyWY8pzMO8SVDU2E
GMxqHoPNglCmP5cTMhzEMdF1xuCdu6UnZsN6DEv7gjPxSri42QrvsCwC6ldJFOe0OIBi/XbL1/cg
m+6DM2in8cNz3B/GRJwlBAWX8Nk9JCLm2U6MuGp6HWDibRdEFWvTSu6r3Kw2S8qrUcmHsRGPTQyF
1xzuDW/Zj216G6joZiYI3lPhXdQAB1UFoFfs1GKAH+YbLx4Jcqsx7I4i0aMmh4SzsYO64sXDLZEl
UB8bnS3OWW6rgQSuQV2l+EKDrPwcpvGVUFm2FmZpQ2yXjzVkUq4ga3yucu/FjOK3Iglob7ME/Irj
/LBNTEGCR2Q1Tn634lK+mWakf7UImbOTIxJ3xZ3WjofRcFN5Fa9EGrw3Ut4vQ1ZyBFXbsh8RY8Qp
M0d50cPjxaDIgsFenpq2fyXP8bknYSQYuxfXx51J2sIFZqtLuyiyY1PL4AoecJxtbWmGl/lPf9/M
gfkQhPn4MGv7X6mNgIG2BEptDuQH6E++Ngw2OAfZ9D6TCWtuzExseN9/TDMCYP1xEtcWRgkBeO5T
jxdxIrOXuw7gTIzMJD73JkS9YeaJn/Ezhvgae6hmC6TDFXyEa8szzpG2QPZ4IRWeyDFTd5M2SZa4
JWs1vQcpE1BDGyn5xRyHCKyTIEGPgv0IhsZSrhoXq2MeEYSaci4r7dB0erphLJuD6vrN/6+2MX2E
Ab6Uv7/439TvX8XfqLf1r/qzGAoJlOdqz4rlmLpA/teC28JWjqYJKRSedDJJ0CL9qxyKyBOBEx3g
hYlFBRr17wtufOGeSy1uOf9HK/VXBfY/Krh/Zj794jhHCWD5TkhLqTVbnm4Ufl9wRx52QYdnjzvG
qi5nZsNsMtMMDKE1mW9VmQ/rSFrXbgzVAUnrvBExbM/MYHZsejVARK+ar4KgtoxNMxabYpxP/MiX
hEIeumLZl2P+NnXZF/vS11AGq9KOTrlsTBv5autep0H6KRz/Zg7tH46feiQ1juY+QXRNtgOYYvWa
RPl9ZxnLBmHhsjIt/dos5gWLyucsAjDc2joSria4PM8rwpNb65An1W6JCb1lR2uS/tgac3zpeOoD
zjCNLpqstZHzKvW2NlSOPqnCMfz1GjMJ+lI4UZLpWyO6TUWJHoXJPRfyW5dYt7UYkC/TEKOCJwrO
CHp7EwwoTYfF1zl88I7E59BKfjj8gSs42G8kUfygobmIyoLRil8piFAWiwEqCntqk61bVnu/qvFN
Zjt/xCQdDvZdo7KYD3ZksYhhUmBJPeAxJCVjrG6mqkDfhOlSTYRvkB/J4P4HGYrgogpQ/3lU7dQs
vZtMsCoPXSEOTcu0alpgLPthRihM3HoroO2cZ8byhOU3PlfBF3+XZE1GtUFFjPHaWsjZ7XH65MK8
cclszp3hk8/G2Q95/QkmE8dhXhxVpJCZsTmZfIL8jOCBw+V+CUuwJQxGdxOqKiTZ5Usb1DdidsOn
xBxe+yo4SZbit13oPI10d9gFpyt86PGmFdlnWaknVwpj21rttZWNAMjQ7G1kyCy1E8Nbi7B/Ws1N
gZc1CLUP5VgNDoEtdkjZ40lxORvCu7cA7V+4MsMxbNqIPvjlKNxhSln0lAySqXzL57boYPVXdred
uwETNIOL3dwyny56JMayIIA3ye0PN8SpOKKApg0kBDju4wpvLFxSJfjMm9HCHz2jJvc7g+Cf0cZW
zahyyWvnIPFzYORqCa6MMYwHfnyey9hdUTx5B9nWwBrGGq9Jccb5K6kjLbUVCCJ/0BDWe+ar0cFP
RiBXGeGCJZ561yK2puF2WpnZXIBNxWtt6251FG4AQaY9B17vXY+dcRxMpqGV46wCx8fwXjSbRgJD
mSfp7GMyFh7aMo7PQZxU+8ElaUyo6LpANs68loFQlQH1LNGtSWH2ZE9PlwmQdqcaD2gS9thpuXJD
9kLMzUuU8t2cbBxcw7u+Cd8cL936fjl9kXigARMAxGLsOZediSszqQ3yasbkbIu23aRkDa3yEaGj
nx3Nyd9Ejfjg1GBMaQTUkLyidgIRULkKBvx4kIHa525zDA313FWqRwrMnt5Nvsm8f7RL/w5r3B6/
G7ybNrlYCsTWQzgSxpCPVEg9WClXHXP2n21sv/UV9pgKBci8NIektOGIlSi0A3k32+K2VRM7KLQD
wm73FjDGYhjWc1Le+2P2isOX9QE0urS8RORzXhq1Q5n8IV2iYVrsd0k2X3eW9R6Ewx4IIKmaI6G3
gQGRqz34yrmq3LRCLx1fd37zGQN8j4cCcnO1bYxG4okZb+uQjZ9hcxJNfX1M8vnb9+IdV/2luQzn
noA70df3VlHtDbNLdikdLYuF2IOQ32KqamCYKX86BylrroQhvknaU0n3t0EKOcHaB1YzJtK6GHwJ
A2G8Mb3hNvLh+Q7soqS6qfxkGzHadk3/pkahrgxcPxHPoYuCAZrDLs36W9Q8ew6Xe1MCp4+NvVWF
3zDoJ+KJ7GMbskDM85z/E5rHOgPG1fS7tpTvcTd/yDI/om370WKLQyvTUwBbyLdLXtBwOk5FCszN
Cr/qeOFxQjCxIfj4e0GRv5/sco9eyDwy3w/2EEp2ScA9APPkVjWQ6TgCKdALx91LVkBr7jjCNaP3
IU5voml4YKZ83TUL/I8kMLdTagWEpAzPquIISRP5wwPRXI40BCqcs13nqP4SX/hskrk5+3D4p+rR
9eJkazHVxcbW2XcTWKtbVzukRSu64x+vrf6uouIX3cXfnnf+RxZduFQ9f7++ui7e0uqfSJ/Tv8tv
9ZbzJ8v1LEQWvuXaGPD+XG7ZfyJZDlaP1p+7LrinX8qtwGQWii6cYG9fIAT5y3zTgwYU0KRgO/6j
8gtejH8z3/SwPaPoFIgwwPz8lfwiQSHh2iNmzAlRY6OBFpGpy44if5UpGIjgXNm4HaZ+3y/Lwcmh
tKAWtuFh1DaWk9GLPnDn7eo8uoXsd2hYdoy5e+XSm7egWCgS4qY8jT/Xmp/jzaxpG4TQLKRgOTsX
KGHWkbZrchNxDcqYOZF0q2PTBez1newCM9qzIcQDy4T7CHA6F5NYuTEnbIg8wZytRySCwNAS9dj1
9sHxqaISKAYGFtBEbSxJ4eLMtJS1yE7Ek7BUgeWsPozAvBXduO3i8eDxsrPR2AfZcmuPzXs1/zBn
FJPDANQESiZcEgRsFBclkAqWUXBohryHYmTbDqMLlF4A1ZLDJK7jCWaJ79/Y5vySxQGNLJuIbZxR
bo3JfRm1ryGYJMko0eswxqXBocyd14rFryOxw6pwbxnkWtf8nTIELR7bJ1lDPpkuGju6dtvhaXTa
pzJx7mThraX35UIW8L1g7/pUuh7LUzeqV2bdbLqs3XZLs/ZqknRCtFoZJcJsJm+QQh/zCRRGs7dT
cmW8hnzvKb7PjWhXkzOxwA5mWE05VTPMbe3logkELsvGf5UWf2azbGZZoeqssiNUiK3J7DNqw1ev
7/cznHd/sK5Y/F3hi906RkqgX7XJGn7Y5EfnnuywvPG561IrflDzZxdNW8s5W4z2mvBkV9Hay5KT
zxin8fJ9nuZENpWUDUQxQLgAl2uuk1ydeoHdeO7FsSqwnXmodFc+ZtoVu71jZYL07epVU4XJk3Cb
23oIL6K0+iAuROyXjmZ+WfqTlX0PtTjjEdizULptQufZrYZ7ouYKhLndoS3D/rJL3HGDE+zchstd
S6jhiE6VeTSGAQ9Jsjevx5EAORWcMuV/tz1UNuIRe3HCJ6WteisWvSQLpc7LTJwiMk5WXAyeyz6+
zxhMY1DT8kuwk6tU5zGaBKus/QARsYthQ2c2joQ3kmV1BUWPOEf4Rtm6J+LRsPYDdjgWtnsopUQk
ToOD4E/nQuY6IVKSbLOzdWpkN1hPEzGSUQfJlJi+Zg1dM3uNzMVdFW1GyzCKLSrrfVunxPI5j+TB
HxveyqhlzeC0Z0wduwFMh2tk64w7fjDF5QhuJbJmyLWMi8APQFoGnwqPg8XMte2TG5JUIfpIZuL9
RUlJnFTzWrYx+qmCIReFjZju2GNc2IbYeCwj+BjWNrvijESKOO7XQvobk3kD+RBzqCcqGfvbZb9U
SttW8cI2fCy9PFuNvbOH/CqZrL3qPuU8kxPonkpj3LctxvUwhYwTALglwdvB7qs6B9uHcQGIdeNQ
eDKHfayHV7tYQAIyFLdeFqIQ5xmxJBpi1hz0Kpb35EClYhlF6bxvumRbipFExWiLMYLTbh9anwmB
NrP/jpUH0122iot39uCk5730wbTueCKRPK8B5ZxwmQHJf3RmhTE33REvAzyHhssorssgXjcMsZY8
WhsJBzClE3Y9sknKdTYg0BiBUo8KFfEcbAbYASObaoKUyHChAtNKLprpnJW99dS38BzIadQVZhUl
sLDE45ACEmz5ravqrJ0YCIsZ47vudTO7hwXjsj+Yq9FVVx40nBpNNuLv9czQiN+lvrIYubI+PVdW
fjfX5lVZYZvsxk0SGAcPCaqDWf0RoR/ntDu/IhbY9Cg6uvQ4KdA/YBmv7DG9oMI/RbLHQdwZ2dbp
IeFUzIwUG3tj7hA61VtZ8Pou7mmaI4d2RyEAUHutUW0aogdtoESLOUK8nlAt+3sGkeQfNHs2MrsC
gpHeHSuIRk3FFoxGXunYjsm+7PF/tvOCGEIgVv1IUKuY2TO26R0z0i29/bYuu0se9+cUcNJUkIra
cgepS7yYOye8mAv5LJj1LQSvwBtABEUEimUj/uBTrsvqKGAyJfWD69L+Wdlhwe3cLgZVXXaVOLR+
zCVH5Z1KEew6wE6JlZ2yYp+iBJCWsV10ovzcbnjP7goXkDAs2qaNdqq9tdm2OQ0a4dxljnizpOaR
T5DAtfQF4DVKYLgeI1ZFOa/y5DrJDLQP5cYGNTUY04K1E4tswIBe4zYMwanIcaoq+3IJv2GmHcAX
bZIRE6v0SJVmpiqRaqkeq1m/g6c/rf542fi3C8Jfasbn/0TRjn8W3Pr/UKt7+irit/Htv/y7qcX6
t/lz3SjYBAg8OKjs0NsywfttMW7/yUaAC0fL1mzGvy4cyUIIEegyRmNa+MtiHDMlo78QpCNBFcSw
/4E5nev/jcIR55Bew9NJuHgrf53TFUT2jpNrcbipNnkEF8J8y0gD0vGW7oA/p0ThxRjCZuGcmHJV
ebCTek1RijPrW6IEXKycPBDDy1CodNRNmr5kJzkgpgAkk21QuTVNRmcejodMc5s8DXDSJKe06Akk
Be6EzzhfCdgL9pROK0cToLKyZBXPwC2h9ZnTBrxVz0oewQ56yyWKt0YXZsdE4Q4wi4uO0LQ8YJ8S
WW17bqv3wZ9uJSQqt5FnqRrQVBpSZZgaWGFhN9aifBOS1VSE6xyyFZFgp8JJ+mOooVezSzZPUi9H
SFvoJTUaq2oo7lroFBHULHfJDWLY+5cKnpar4o9CA7akWX4xykfuC3urkZSxETSunmq0mMFzBY54
6EZ4ajXkrtJzk6tCw7zGnLJu0XyvhdthVqzQJDZHCwZYCgtMCdbKmPWhVzr9bmG9jMnqzdUAsdLI
TwKimGIT3iTtXahRY6aGji09LAGNIWvgkSVuiAB7uZeQLFtgZY2mli2aX6YDB3qAZobdbOPGvpgA
nRXg8VFTOesQBJoXceL75alDLheVzdrPfCJxn2SXMvfX+j/NUlPRskF+YyekCM+oj9EVU/WEq8XH
G4NQjXt4a2czYIPmJtKwNgtqW+xUC/dU8do2yXsE161liSfj6cmuFo2dZ21pQ5ezNBsOKMhjDSyu
09Q47+fz5CAVLQxKUoJM7a3IqttJ8+ZqCZ9jEkNz6FnEoVnu92QK7gsufRtmnUg4WzXEbi7dYwbV
rkE5vIJTgXEdYBCo9vDSgYEX4YBdfkLxQOkjD8zerGraTYN1ayVMAIEE88ucn0K4Jj11XG+zvuf8
wj/l5fCipWtyctmp8Rkjp8y3VW1Df5xZdSfAACl5/VudEBpvijZ9SLiAZcB3X3MrI5Y+OyLnyhEo
DBpm3aZ4VZTZAMU7eiqyhX2zOEfFcmQz9ChHLhAnQf+pi4Y0LNnaTOmH7XTXrEAhRrkkqS7LyXDZ
evuddg415dcM9I2cphEBsbyLQ4vCX14QXLifA6iBlEUiF1svmVmEUTalJEEvlFE4fdOtnZqkKLC6
zqboRLDWhWJULU2moQu4wVVHqaaVAAMGV9S3/kGUYu9Q2g0ZNyulXjwpvEDwKkyKwGbML8xgfqkr
6Kbsp4vEOoyu/xpYw7gaKDIHR95WFJ4UVdetLkZV6L2mY0qJKgD9ifgh4ykcehtb8XC2mGmiJt4N
XYfvVh7Mzu/3i7K2zUwaq6dcXWnVyZkKDIKSSjAGEn3slPFnprOQbWbIm4B45KqBneRURM3lV6Bv
rbWczXBrlviLPB20XLZeUm+TGAUwdaCRqvhuIqQ57axkb45JSFAXlYnldAfGPs8+KonJroh+brgb
mESLx0osLD5LVV4Jmzk6msYq3/WWFR1BYuHz41NHUsrsOQnto0xCFn5kyaU61pFssO5tpKtk7NuQ
EVqgVfbc+lpAlt1GwfhEzshnbgUG5zDD74EpeF77TySP27eUNaeYObk5MzD36OBQNrywSQWPa8zT
rjWTfhUyZ4+Yt4/M3V09gJ+ZxBd2Rswuo/moLz69NnH2BVN7nUKBlPMG5hNhSXqwD1Nlj4s7QhNJ
/N7SfRHnQyYh2wBTrwXcsgS1o1cFJM0sPmatND6mep2gmti7sfWKoQniheZ0fM4K+aNy2pjx3bTH
+kdManbjTsUNLutsberVha2XGFEyXAob40eUjXfoxFHLsN9no3sfRsXe9/IEf1NJjsZi3hkeaxIm
3+3eZHPSp8kPWTRvU5bp1Q+r9lh8BnrZMjiEWer1S6QXMdZsMVbXy5laAk/r2deQ9PoWsr/x0UIw
lduEY+ejKqpxYNKepHrpIxOQyp1eBEV6JaT0cogpsrmqcYY3enEk2CDh7N3isF6b0A8jvWJq9LLJ
Wcxzo9dPI3qiFYkxhMjq1RSAEP4O2AdYE3c712e+I3pe7Hzs8n1XAGfnivzBOVsfimi4LF0LfVLc
N5+9q102aUN2GGhe6x5quHmaSh2bpbmabhRty44rWJXoR4LZsXYWiN5zWtgEiZHsF6iBixiDwY27
PCmKTBd+dNqXMyjl3A9Y1nsBLWgVHmObyJ4l1RAqdpfHeQJiMDrS3oyRRxpr4CErrjVO5aX3U4MO
Rbb7/yYcKRtLVIJoPxT3gydfK6QmMuXnNm9E5h5sL9owYTuOijs5RKie6zegcdcx6Cdg1NnJLLrj
FBrowhW0x3Ep1kiCoJj6DQ7OdCtNaW8Xxc1XRfHDuGR44D0hL8To40Uw3+sWOfmsRgFXH6a1FHet
+dNNU/8oPf4eoYROEEX9QRTpV1xmJMr2MUExPlgG5QIg9YCFsYh5zQ3vi1gzzkOzeM8Lk4WfJfH6
iTDnJqYgiuf4dpI0lMsQWltn9NXN5JO+WZCAB7T/aRySu7FcXlmwP3QqIoHSTOl8LPz6xN/6WPow
Jw+ABPr6xQ7dbZ0Yh3qADO2SAtcaX4y7UcJ501E27rZIiEcZG6S4uIuqkYFVMPsfUym3xAt+d0u7
4ZVA9JtxhVSDdzTK9q3xxSHIyNaMzV25OMcs7IuH381a/4YcM/wrNaaNAlM4boCKwRK+RYn7a9Hp
R0PdETAiNi5Era1U/rEbJ0Qp5UXNn5653RtoxyMYQfKPEA+uTALD8d9+Y7/dkgOdriiQv+ucQZT+
4UgY5uR0tws/daN//LIQ/caP/W3uty/ez09Lf26m/gRd7raQjzSPCpeXxn/AP4DZKrvLDEZyfAmT
lxgrsl9YUyzkDs76u4rn6Cb9+e2JKX+apDJXVjY1uMiyd8TnFcWI90X59Jro56AbzHrjB4u5B8B/
43TgMCweG4PHx51oNTmh8lU82C+RYSfrcE5vqIRfzNEjMV2QE9uCRKRieCe54iNSNeLEaP7udDBS
ErN4KOUxy7MH+Mv9qtXPtUH2YbVw9uonvtHPfqHfgpHXIc7VVy9L5o79HhE3YwleHCKu7haCrboS
V5Z+s3jDCjxvrRbgfFfO9BgLdPAuK+P/N9Lpf24n8Z+yvwz+YdDA6X/9z/ztvUmL7t9vMfXv9FuL
6f2JbDhBA4f4GqqVVlj/1mK6f+K/EVsXwmAwAaLRlv5FCuIhmECPTYmsIwZ+aTFNFvj0n6ZrEl4X
+n+oxdSikl+kII4DJhzeBP5VOk1WIb++7UgwMS5bIcFC/ngaxvzdyPAEIolst301UN5MCAH82QE2
qPISIGH3Af1PO4Dqx8IdqVfn+w55QltE8X4YR3NFN3dwy/REoDCiJDORdBvVxSisD2WIXboASmwL
XmPGmvsyns6AbVi8qRR73dhnNJ4W1rFGoY7zoodqjK8KknzBOnWPo8joQKVzAbeH4ZPrnmTr3IxR
cFBLNl12JA21fXQ1p9F3HPYXwkD6NuffjgAl2CXkAoXduC+taTfH/kfYYM2GxZ8mbrSNxxC6Q2xc
Wj3ALTExs4fhiKARjQDB5yKIWYnPcX4yGXSulV8/9dW8T0zxBEbti7ThWzPhjXdqcRMYmOibTqFR
bEqFl4iSW/ZoRpuQjQwFe3C1xIlak3h5iNr+I48dUHHCpnWxmhUkcXaTiJS3AxfefLQmzhCwzsba
1o4ZoAZXVskHVOFmAp0OwzKCSkM4/K0ZcGWDA7IgKriLc+l0gBvDiD7MacUhrEkIYDoVUtxP4RY7
+gaCw4fRKowwvtqGY3yTo0Wg69qntYv418fo4QGPaUBc7lzM7jIILvI5OcxKpDt/wfA1BwjDJzm3
6yAkWMJKp6OTKeDQEXWQqcpTPavTaMftyp4cexd2Zbgv5oBvm9EoRSGzu1WummJfdy4S/sFqD3Nh
ynWgh7RROPnvURgxwADfuGwbiyjVILbczWjp/qty30z8WyvHRpzJ453s5sIJVoPy00NRBdFKFvMl
dko0tK5T7es6sd57Medg1ELjBgpH+hiUibHOc3CJ/Ck+YmJxK8YIM5yv8fVOSGeONklBImfrDr3g
OObTB6zMK6wACGBxB5CRfaPiVKxGGoijkMNL2aX5uSEnAQJ7UDFmHoyDW3HiD571oNB9EMonnnKi
XCm3p0s4w+l6aKvLPqofcHgdsiE9jKlzkUuDNyKwZxBJDZCitipfB7Q5zdLsXcr9tOU2UoQNrUK/
fHQz75zm5leYEK+Q1Z9G6p8zCzfYkr8meXPvltTR3ei2V20v76eyuexhTw0RagW+Z7o+960rnaOK
/cd5IHLZ4YZhPfQjYkJJ5amij9YDV9RWk4GZyx3fDaMjKcimlvbrL0LRkW8yQmmRHetWaqmo6SeE
sui58DkuxhXqgeBFn3QrBTvRH22Avm726BhJt88jJKldgnAWZWTjf/ptuUXKwv5Lof5KouFjLsZi
2gSp4+gxwndpLMNnnXFSbaKBRQRSILnJW4HCNoPz7sxXXcpjv7AcjGE4U35ImkV5P7fN85h7W/0U
d3ZKPrwTA4BGziq3UZZdS2fdz1BeVZaie0uNG0eT5WrNmMuJ0ztnmjuXOcMxSgX0ExIB14Wm02Wa
U9csqMjB6QFBj1y5F5pnJ1MHFKdm3JXQDIkWhntXaAJex5Zi1ZYgMIFFGLdR23r72Jq/ZBShETNZ
YFpqCa/hY046iKndmD+Je6D30HaQE0oLl2sqn2rbXRP3GGBh9hVhnFNH9eYrXT2l9dhhdJ7Hcwzr
r3XLxxz2n0vmpn6tKXSIyFsPg3x06UVdawbAX96myMFryCz9uPJij7RR5b6otiDbSLJuk/OUnWtk
0FuUrc1KFXxfdRF4tB8o2XIntrbD5IS7IIapWxaQS8k+vLQXv7mMOivYOG5RnriGPnq08FsjcMiJ
s5vAJiULJk5pKwYUVRrxYXOISL86qQxplh/lx5GCfFsNbAps+izL9wH6MraXcX7bN8VtBeRz0+M1
Ju6gcDRE+exWDM6iBH92C2VFv32MzWR+EzfDZZHMtOcmVmoG8ru0wTOcJsVX21R7lL7cV9V4n2Ri
V1XiTEAoCQgxyhlnfgyD+KWx1K4KlnvN7sxw5BMB3YOd7BbyzfPHoVoIa6xLez1b3rXMUCKlPrmg
qujeYHTXGOqWcA/asVmHKnvvTRFtkAGtc0Kc8Wps3bj4NuQI5gvUYZa9p44bbyyRBpuQB549P8om
trNy6k7IfF84QeGDtppumz0VoHU7eq3NXPcf+Kk2YUw4lpu8VgrP5NCzwBACOFkY89iNCvhjHNwU
Hpr3plc2hAE5HiJBVHQuBSLQML5mWU3ovEkMIBMaHkx6Y1ZHw7KylZNApnN7vibvabat14AXKRfe
DRJ+hIATis2unyfaX/vSwJS7GQKHEVnL2qdYNqoiOFYZ1XtfBFyzU3JixMlLFiostXaV39YMq0Xg
T7tMgd2rx2nbyfApkNgHM5VWO+GXFxX45yFuHy0JXhpON6edPTH7rhsfQXTHKssgKSn0b30UliCZ
SUZMLow8Zdc6PEs7iV692Wk2uTNjH8F0QdGTx7DogKxNkXdf5nFAGMh0Ab3h0RmKj1HSYschZUTF
/HpB1KZ02ETuWBuPY2g1YlNecR3r1MZ8jUA8xvmUDofc61I9kHZuECGo81xohVa0ABWyJr20Ja6b
fjDIjnRUp7nLOV7K/EdTVtZd1/XySuGy3c150W2nZOwO5khbDiR+fJvHSaPkSsM/qbEtCQn3it1U
uf2RHSIQi6ZhUc59xoRxDp483LEn7m6JPKO2yRmG5lDW4w64+MkP8Yyimjtg8aDRH0x3jWUCFGvC
tj/LQ3ObmH1ar+ZcTaduMf8vkhT+iZ3V/qu+eiu/un/5Rdr0P3791/8YeBmY/NxlPmX735c53civ
tEjpE+AV9Or4+d//619+1W+9gw8+znHhDXgYLdEpUbz/1jsQQYagCXCmb2tZEYum3/UOrmcGRJNh
tPy5n/q9rsnkpRQB7cZvbcUfWE8xE/g3vQPqmxCKtgW+JoRm9WvvoB3RpiTCdsNE9tvgD+YgyQm6
McRtpJo7hVGOhnk8Wxy3+EZ+pDMC6UZCmYiH/ZxWzxlQX1zlXkHHTgiN7c9URWk6UKlD1QdfmN73
w/yAYuoY93BTXOsghuw5ZVFR1eWT8NSX4/afSR6e/LRgyhtc+3YFhhdwZ0qdaZBOs/Ib+97tiwsm
bD88c/zOEbWoroWnNgzPzOkiuoe8XFt+y6VQZ59d3tjrKTK/CzdZi7wKVrE0roQAtWHPwibZFBli
5Vw5jcX8LDOdddYUZAg3BD9j8EO8yjJqfHWCbldPU879Em6jfrgSYX+dhTaUd8SSuVfC2gwRLFYD
dsyxH4C5eYxYwvxHyTyArNS3bnGeWx+mWjORsLvYR+Af8NQDdciD7Dn3iMixyvjOHq2bKu/fKgst
h/ABIbT+pRFnZ7qGLf/xjmzcjQKAEdfBfhEWb/UIrVrMl25LBWO21slpCCN2jKbd9VOrMTiMaEJL
ac30PB8XxuTbLon5NOBrhgmL+sD9xKN+bU+yBxGQtBs5pbd+Lx/wqcO56Nt52/mBtZ0M8DSNRQSu
iiyDsXNSX49De2PM4qVX4ObAISN/cXFdLeMG/JV9bwTBV2AY37NCADpZxnfPPFbGFSO+LKrv8p6N
2lR0J4K8u3WVoZsqovw6RA+zqmzzVA+OAkw3cbixBDBs6wc5SacA9dNIYW6E+ftgivrSrbpo3afW
UY3BVvDPwQweYuquOBnumHdma7cYDiFfEx0FJvx2RomvGuNmKIc3idJrkw/qi/wueQTVzuS58OVD
k6EMHZf/zd6ZLTmOXVn2i5B2MQOvJMHZSSedPr7AfMQ8Xswf1l/QH9YLqqjOTJUkq3yr6i4zySzT
QuERcifBc/bZe21E11Bn00WAWomEmvigUhaxwxN6cu1k2dSYhnWCovlAAEip3qfBtJYoevoZEveZ
f1CXYxjS4msqkvMsBgvFwVYyhgVHHKpzEOe1H12HaNZ1dr/saaEjA5ANW02Md3rHmtTb+J064bc3
o/F/OnYdCjFiZZ/E8bgk9nxsOfouS9X8yKdQPU6xLx9CM1U/tBp4CwSkkaaMeZbP56EeFz4ad/2d
zvM+q+kdg+/H6LhhypIWT/sgn5x9VlWP6PCXvMLEUcb9XhmNFxFlcpFlUIginFZRMp9SEpNMrnEn
ObcyUJTfTRF9JIN5M5sG+631kPrlOdXHT5gOTLrJcI35DO7b+tx13UMdZ0feBfUiZFYPeye8w81O
wCuw1LVQcqzxVr2dmm4lbC6iFo+MZHgZlXbb95RTNHRu4MUMMEDJn2Dsk0euY3Clff2qaRStDLDy
+DZEhOgoH+nK+eTDWRD6Zd/RqjroeDCjhvcWzzjVOClM4Q6mkdEM5TI1McHolrKSWE4XIfVtWH8w
0uutq+/DqttPeOFIotVoeMW0REf8jkzqoiS9Rj6BR73OrkM3PomIrLbMScUqHYnT2NFvciJ7Ymez
T0kSVOlqapTgc5q4z3Zkh1sA7qRRappnJioWzhOHKSPBIkMNTbBopiT1WmkWR6sLMw/0vgBjTPhu
AjpysJvsjqGpX1mV/xZZ8SXlS01CfAhbPpcVJTi9AvvT1A6D4rxz1t/WqfpmtP2HmgcE7Mhgwuwb
+2ptCER4LotHgo8DAyBUkpa+GJOcLLNKsmD/gQwelZCLcNbfrAl/Pg3yQM8hFnanLgzq+yDLYQ3r
1APahbPUqxTYWGRTh10FzV1Jq4Tb4twiDG+TKa3F1sEVviwLsescf8krOr6YRYglMCF3F+L9sgeE
5RD7RGui7jah16sDdxlHHd6aAuZLqJTYyLXsGBW9s8rQKFZ5VndHdiRzVea8ZIhO9KvIUPyd5lCN
gP7/lTTJVxIMYDSLZDlGHHE55MbkqxOvNEIuifFwicjHeKUJj5LTBUysglh11Qe32o0oEVbhNBnt
HALhmdWw3C/SgJdEhEliSdgcDH4+xAs76AGiaJX0Jr1yuAUkPO7S+C2Y1G8zwYnVufaHDr5kVU8W
187Ch27SZeKgUvqNKJ5e5Kg7HnUPUNotYu6Ksyl0uaNw8UCp59rxYcLXA1dJtY69YCBRITT7Mwqc
Hrunv7FEw0Oudm59BsJJdG+mg7xC2+YBif0YqiWFC6GzYSF7clO0e6PtznZAG4oe56u/7mn6z8nO
/3iK/NO8+F9qQMQJ/s8HxEP9Lgl5/gk++GtE5Pf9GhGd3wRmJERkHW+5Tpn2H0ZEV3N0ZkRY+yax
de44v8vLGhOlK4Ch6rblmny5f7e+m7/RQWuALMRuJNCk/yLa4x+MiCA9GDex0nNScudf/wN5MFaz
isGJKFfX99m9yhkd1XsxQgZTofFkSG+t0MdpFZqMjkvfMGFPYJx9CeOoWiv0UI2HQBfAsrSBMxQF
PVPoycK+VTq9DRmACVsFp8BqPz/rYpOqI+IlNDU/UqdgEAYpycyb+INN7ajYxbG3p6Mjx3Xl49yD
bXrK/XYD0mvt1t2mLMxt39hvaaY9yKBe+3hTI4HbKjcumRjXfD+Xjhlxyi/WZmM+95XzqUQTxM7x
qGWEcuNE0ElPGfeInkI6yrkKEy6q4ou9qHibU42+VIBfAdCpKWsaA2NbxWQoJ2Z8PsGnva9qTy0K
rFUW2aooko3qYyHlyH1OLHGhw7UGqZTC8Rs9VHrMyeFOi5zXts42do03KO2OeUn7Er2Vr0Ndb0PN
eUOX/zDDCbep0r72OCo2zAX5/Gy8j+uQpHma6asgLj+jKnjuO/eD9p1hkReIwSOOXHAmOh7voAO0
yzjfRVqzcVJ+Vo0IsjP9qcAj24Q6ID7xYK2UNIgFlFzF1E5cEpcHHODjZifSmFmnactdWHbtKs1C
mwm0zC917cxtj8PN6t29qzcfbqauizBHKGmpEaYTHfNGF304nXFXJET6jPmeao7l3cQWb+aFBy/s
JUQ+AdPUNbjf3HZBZSvkOV31+ppGcSOIdkAu6dZq/ZHLvP/dlZXgIGl7jIRfatbMUkunLbO8OCph
yeSoOagkfpWsCz4EZjjmtFRL5VHRMJaq5Ldha5Wc5cOoB5qZGAvDKnZDF3DFVBTChgJzm+bEhBDy
bcD4iqmo+UBmg+Sr5ZQ0KzwpJeuEQpooNZFVKanq5MlUgpujNIh0UQG52W/PwTDxsjWea2t04FuJ
c9N1H0nNvAkcgu903H+nY6VvU/R1DBHT29DkYjF0EA+kpGyDQIEvg3QnCAzOz3oun7rV7dxU6fiM
FhluEEe99aKfXwG8bk0R7kKVA6iBUFMoI9WJuhNzvyFxZ0D91XpbWdZhvieSIvifd3n1jCEdk0iR
bYVtvMoIi0YVVNldXU2fOoHmjcWhhReRXPsl3I0suFHz6JlFv5BGwjWAF30Q4FXRWUJ4C6baQjcQ
7SSNtLqkdas2PtSBvwOhiGvVmIAkkumpqOimD4wXDXqKFsSb0fxxq+RVHWLPDtpdWnKjJju4mNzx
3LrGTvjJVsvaHaPJ+AhBZa9p8HIGtd1parWLyJwsK+ZVXoTFKmkU4DkdkqNW8Uio1GUUZONqqqyR
0T3aMDQMCwwZSzOeh8O4eRSMUjRc4fTHIs6mk6eebKmyyomyFn6wlrb6kSqsvmZYiGUvK9Y0pPc5
ZruHXO2BzrxJp9/4WuPxFbaFneOAUw+0/kZemKQUi4EWok2TCobEWju62LgGQVLF9tDZgOGo7jWE
fcpzfuWW02NNnnCl1jA/CywHVX6cmANicg6czFLkq0B/ZmJbpZjZccqZVKAZ8d4F2QoUrPwwuuCp
aSjosjuWKFdU56FgUihpx+tYiut5O87G4Mun1o8IJZuzNe/QbSRJ1qYNKVp1F9nyp2LddsV4dvxo
L1gfyGhYfApYL6Okew5NtzLTS0e+L2B7D+L6S2Obn5AxI1GuNLb8pqGVQiZbVIZdiwqgT030oPJe
QZpHIiCNTmluIHP+EuwlWVNQMSPrhxxtoUBj4CQImBrVoSyQ9bPpzp55ngVbFqy0g5KL7zEePrRQ
UkfDYlX11mfQCpikJatT4W5zEiDI+fT44rcTNtYX7LFpHl4Vs8DlIbd60UOrrm8h/ql1BlYtAk/q
TNm1jwQa9JzOCkaGYlvwGaGO7q42YZ/GRrd3E968STW+GWX5oE9s2EAqzCDaCrOckEK6c9Z3JA66
asDYDwWwTrCNGyQhNZSE+rH1LfDutjwFiRbO6NF9UkVXqMR3iZbIrWZNJRy84sGa/WOBgvcoaKO9
S9ZWsSHMWHbzHDZ+fYwkKQylIOlr+JWyJXwWUZus1cvEmQ4o2jVc+dZfaGb+MsbzolBb3KXwVAFl
yT03mZLN2Bm8Eypi5josFrvlFFa2+i6XHDVJCJCu7ra6Sg+Fntg4cfz24ibUi4NWWfjOAF+1rd6B
gw1rQc3kFJiA+SN32ZNDwuWfkO3seKP3FC6z0wC2o/e83mgSERuUZbCq7WZclUF+wkOVswJBGCgR
jI8ksj4NSH2VbD7loDerHItj29unVlQvgP6eqiC9L0v10OVEacIeS3XSxftCn9RLZwzT0hDzFs3P
tFem50jrHGBGk7OGosf+Mu8gmGqTVDmip9u8G/ydGYqDMSXNXeYDweS9pDxPLVcAzR4eWzPZRiSg
QH/UO2eCOhjSEzKWHC+VLiJ6J58GlZxpMTlsjW3u4CuzKUiMLfns9h2+Qssc1hJRhXgQqqyeKu6r
34i4xNfWl5//M2z/TY2dnRf/Ythu068o+Aez9vzbfs3a2m8m3guN9lpBpZGlMzb/kmNV0gKGYdBa
ZIhZe/2DlQMN17EwhWqaTqSUien3Wdv6jUIkSBwa6D0hSIj+FSsHiuvfybGEf2yVkIAwEIxnysif
Z23IlqWwfZS8NPUpOAcX0eWzBW3TuBQW1vWTEcQfOLtiL3EcTBvuF2Uw9UbS0o0RmWeoGzLEEme+
T8Ma4nY1foU9LPwhm+nXJYtw8m1EGl9/kMF2NGffPCEJbSX6wIK8Gi37vIpoLASnVybmbtTGgqRP
eBFtskWfuvVVdKdTr+ZrZBYBB99XOdZekgOa4mAgKfhvz0duvVUFpsSxu4tyhyp7PCX4AW1vsJzv
QC2PghNur5qXRI3hTgw0ObCXmvLZbtuNohHnm+Y7ETvvOqmGjegd81nTiSboRbKDSrcbNIf4EgZL
zucr0gIIOmIz8Ks099I5wLu1s+1NV+BpLpmCIyt9L8njLRWDWskk2M79aU6ofKBgA8wIx7VaT3j8
xvRMCXq/creGpMBk6nZz+4kt0y+77e65Z5OS7dQEETX46mzjZqRzj72pMQf09aLXClZzeyTHJq5d
SWgxFoF16qryioOVM4/IX1qt3RkGkSXu380qrlJ6cO0W1OgwiJWTmpccqBXmzlTD7gvMFKvlgitj
vgS+zQCAbUxGeFvaXnnS0nHwRnqNFiPftmNhwD+OHL/fYJ04D1b244TUe4oEkRFCQXFnlSH2hnAt
3XLVusXJHOhyjYTiqTXX1ZJDOdHeYVzNbVGd495rFmGK2mb8KoM3XodwoWPzTuejit1mP2mq16Xs
f7j+WVbMjZuGL/YkZ+cFbe/+EM6P2OERIv1P4icnRyF+qguHbTGpvkda9fAJhE+yaY6GOXqDrR4h
pW4HGsvxEGY/uDpBcZgtyc9ROVtxrV+HyuIV0CjEQ6fuh1jMxq6sXZsPe+zvz63E8BFO6sGV/Bma
fkqVylxIqe1SohoL3XbPamQdM/zTBnSNZQXjim9f+E22uVhUkmCfOeG7ybp8lbv5iR32gTAEx9Mo
rl8DhStvqpWfDSXyiIWUcI33fB7y0k17bdnCQuUKSwigGluCncPJqsQ+yYt3lcZNIi7jo5azUNa5
8gP0KmJyE19QDziwJB90S+60Ngm32Lh+9FF9FqM0UVkbWIa+/e6Pxl7SpblW2bCp4uFi3wtodLHM
XwYaoRXC4lvJS2OZZzltttyri9HmjTjGlMsyG058aSxKI69d3dah/cbUVhIyHLThLnHrPfMpd8Ew
izcmXdPrtCFlWCcDrccNAOauqtyTLN2j03avWVABLKHnq7TKTZrM6DPCWQAtJRghmgfxlhPKqAZa
Z4Mev1klon3Yz6VbUiE8E2c8TcQA1JN6szGL4MaNGXYzEMxeUQKZ7lqCmI0s33je3OMgU9DicH3Z
Oq/Q2Bm/+in9cg3zvgtBEBJUoEXN3ykS6lZS+ofWjjxDQ6Ll6TLV9N6Yc613Ej0VI3F4ZeTIYdEU
O4Ms2ayqOiPcNEZeHPnEB/X+IVIZFIeymH3f2fSJdVc5lzq8lFTiZLHEbZhByWmcEh8Q8tqRy8ai
Qso7NnAHk1O81In/zp98Gwu5T2tUZOpL2Lilc8jg82MLEZ9V1YVYkshPVCWjBP9Sty4PJOdDWDZM
eo2ntt7zpGPV55qxSDufhHiigSqn1tYP8bykUvI3SNq3nvhVASFUoZHNgWiupfpD7IakxbMRO0ut
pkupmddgYgspMuO1Bs1iQOnHScHyprpHui3axWCl6rY1cm1VdnJHRgztUWjHyHL3PpllCqv3KlY0
SIDB1xCKbl3T9LZGLSFFgk+vCPL71KW1rXBbHizOgwVUDg6TerLHk10fukb9bjFV8AmAuUVySLEy
h+8roZGiiIp7LSr2XRpdy7hbp21VkPKG3+Q0arTRXGPbkkGzgI/YPqxypzk6gY9huC7itRrRg21I
9Fi7z76nkmanMKjuRZ1Vix6LNWN4mHsWBL+cTycm0gSkae8+hvBSwNzhM0jC4cnkMnPkGzQsRye6
VA6IgNDQNQg9TeiT4fLFJkaE205GmO5s8JiP6qRgBgukzG8jz/Oj1C1iw2jz8tZH6bCUjmbjFlGx
PqQOGYGBdie1kEcjtF9EG54DX78bZto2V3kY3zOBGw7BeQ74TnaxHYz6KkB1BxWJJGB+sDannePk
+16pn5Ouv/FZs1VSaN/IvvAH4dQ0MwncdZRPGabRk5KOz0rj77Vi2CvddMopDFwMM098EMmTmbgD
joPew+L0DmPVIMMDw9sER84P95iAJ6fQj7p6cOVpfI0UDrdS3nEPuvYF7D3w5grp/3zmnYtQOqe4
hIE+WTMadkwOA0J3DSadozI4i7jjhRC8qIDUQwUz4UxWH3ztxYXI6WqUNFIfTQ9rT2U1OHYNtlI1
uA+qVl1A0/sL4Yp17/I6ybTHvnWIMc1sd0NLD5wZv+RMfQd2Xay1mQQPOiaEoYDTIeqJC1LF/lO1
mLprJb4vm+aNRD+WpBksP1TmazSj5mOdu6tOEhAGPZZspJyJLsMePH3UuusSXH02c+t5yGC2mln2
PVB7f6bb14m99cHdo6K8QK7chy0Y/IGyVGusv0g06otay56mugQP76P/O+z1SncfWhN4d40wBNRQ
8OhcHOx0JnQA4A8A8TsA+dW6/+JTChM+qH5oHaRn1PJDIjJapb9rAZzaaX+t1A8Kq4tlWJKGM+hL
za2Z8E0hQMopx5wbAnqqAjT+BQaZlyb5GUvmYyPFO0d/ascr8zC4yR2JrW5JK9xOm3sIAji2RINe
BgoKCBYiYRG1wlZ8rRT1U+C5s1P/hQjqfTkXHJiJv61Lsjnl3H3gdBubLoSEE7QPaJLrvYPoS18C
DGPoiDQo0FtI5bvTnIxEnKMQMBhr0EmjdaGnfSFp/B2pVB4PHJPduZ8hnj4rAgFY5JxHnQaHsJWn
mkcUtshVbDiUi+hE1tAl6jJ7sNrx2M5dEAOlEGIwPIHxL5LlC8+l75rbuWmNLPFOOPeR0yzRmwLP
kVgrffVDdANU19xCEasaqClSMh0nrgOd1ZgcUzvbZuTBnuy5yCKvu1NbkrUf/1Zywf8lUncT+3cA
qnUqEncpjMFHf+BsxrchAMhnbrROJ6+onFJXabwqQYVFccVHijZ8c8qpuNKFE2z+v98Cf4+R/0ub
///+X9/Jfy5G/rvH3wCvbuDxx6qiw3CcAee/FkODmkcYkDDXgawzXLAy/n6EAbGvYuwhA4CNx2DP
/PcjDJkBLi+cXyxX54LDUecv+HRQVf9uMYSvzm46g47I9vChMS+OfzzCuGZTh0LOdYHWcUziXVR/
FsVsVXCWtMazFdj2Wi+0bWYqi9DGDRuDKhwtHF90HVynNF6qVK8aUfeMd+KUpYi5IZBpo6Sjx+x2
gSVQTAyqSQo+dVCd3/K890HWwkoZy3pPsXi7DHR7wt2jz6oqR9ZzE+hAwMERQkVoYup8IoJYoyco
6KAU1cvJnXb0FQSWvExQxgEeg/3pjmGc7gitPTdm9+pO3cyK2KSdQVE9iUpIsMG8ExCGnZL8vdGu
VVt4YsbGul3zAP75o5iBsmHQ3EPLX02SFYxTCzbKcw0pIgmtXd4DZZwgK5F26CzVoyxkVVNVQM5J
IS/d7RrV3aB5c4oAZmvMVFttyL+nlrbzYdw1fbKfPTQTqdC+L9el9AExN9EMNSoPaTq8ya47piZp
dQscNg/x5lpCbn8VlXmF7447lye7xy6kXbqIbnQiWk+DklcQ6qkZ4YbfekJL943dvRPpP/ldH8Cq
a1Z6Ie6aqnM3OX7tRcoqvVZ9xLW4OehTxC0H/BQ+LEMX3SqNGBLVIl0XEmuRFELbw84+VnWq70X7
CliuWYya+to7j2nDPcV57Sx5l3Av8OWrQhDPnLGGSn2OOhl7sCo9Rei7KFGzZQt9Xeuqg1K3T5ov
7gabB+lsborHUx/rD5Gu7bJS2wUKAYJYAc4+SPLNcpu4AT/5WD5Q0fuMW+hicTdo4Aep8c8ITYij
DbN8AGDIhTRENOWIWnphSQ9pYS4pOcRohFtRGVh6zRlXVPeluuhRo+WMMopwzbpK3VOwnHDqD1YG
mI4Y+pE6Uk2BG8aalF0tXSDQe193V213kA4/h+Gr6v2HrqpXtZLcN+Y+DN+Is7IIIdnCXkpgMDEI
nRyYTCNxPeiSGwVWk1Sncwm7CSvAbpxhThVUp842lylHGdUfXAzWpHftIF0rMUogbGKwIOpdljjB
wwQxakoGXBnlRoYfaRE84hx46xSH3iQ44MwJRzSHJZcgb4JEZUCkCim+XzQGa0nic5UHTl1946Dg
rmhdW6N6Mqr2qYBwxW3sCGbyGjrjxWrzrQUJS4eIlUPG0iFkFXzq5RCzQshZVWQhjFN7EBPVaZpX
F8JWb07HbkZuKXOjqQaFK7Tte6XraJw6+wEf85nvci8JGiCU6dj8jYo9E0F7nXAbHTaEQ6bVBPxr
Ut40UGBwwC81aLCId3wNKoxXtVfz8w/GT05WyxCgWDA3d86EsTZjHeQTljMgZJVZjS2zCOCjvkkC
d1X7wtPFtIJ37dXWgxprV1LKh2qIHokic69yWw+n+EKxnjmmL7jZLjWAaxrOtBwhQk2H76bLPlOC
nwuEAOL6V7+h4VS+mcz7w3QDffrRAzhK694bRpA2SoH8a6ZLYz7n1bF5U+36vuqgWpcElGJminNF
Q5qqa8BzGIaKz4E+blItx1Cmm1RZ96gzgvQC3PhFLY++6uE1P9i+emdVREy4/gbWrhhST9Ee/von
/D+2S/y3BcX8mznC+ZdwwVubtJn8j67b+Xf9knn130wTsBysZTwLsz3i/36aa78Rl5uttZo+G3P1
P7hu7d90ClEAEIIFwD8x5+z+8GnuULAy2y1sw0E6/iuf5oaYoS//1qoye4RtAbyZ14vgbwihcFac
//xpziFU783AnlaKBQhQcSs6g2Zu7OzAeMtVZ6QqFpTzCF520nl+zLzZjCg4wD5OlKKNDj1haC+f
+bRIA4gTM7NWY0tJZoqtNfNsg4ZqB19EPTB41I+c7t9NMJClNTLDWdvZNK2tmY8bAcqVMzF3MPN4
3c8U3Vj1zTX33PHqYHXfWTan6QrsbgJ+l2shZJkGOilg3kCIoFxNceLfAgerF1En/IHDSMExH2En
dXTEQfYtPtk8QWpuCidb+Ul7HuGxQZYNV9rcjQ5KNlgpFLrGKaCvtsnUnyY0+psrwmJtJH3OZ4gT
bZpBsddGkDl7hcXHowihXCoO62OP3IU6xKIWmS3pnNAqz/1EOKIAYYqjDawC93sryp7b2IHvTuQD
ylWfO82W3Ae1G2N7PzYVvqpAntEdz7ClkwWIE9ZiAPLByrcglrRlepDQgs92bvcnV5Fi7QejsSz7
io14Ep9koFTEXgAkcZ1b+7aK/JvgR7jt6va5hckAa9oy23VQjN0y6OsjdhkT+xkAmjbSVpPpz6pZ
/lhZsEZ0e9ybsW0skSC3I1QNkkbVInbFm1GbNw0bsF/KjSkhx4NfAFqmxPpC8sOoA/1GY4sX+1wc
U9d86UOMZoOrbHzpHhDqWk9NgC24QfdS827wxJB+ykAz4O5GL13XrBv2P8ctq6VRjifDotujl/3c
yoYawcXWa4fGJ6yierpkXoxMNdlbPCFXPZWkXt3Va9Okqpk/6VgGY7PNbOpkAN5TveH68P4c6LnV
WB38Ub41rbOeJnRRxSZN2LoTPY9MgItJ6x4M4XMXrwnI08O7gI/BrjtFhzFEVmw1VLBkAOZP3PRj
0JITV1pcoJ0ut7Sd9PTHOemdxlS+KTm/HfSBq4BrUR2JYSLzrIS3Xq4FchEY9mrCJE1ENl1aXXxL
nP5gWtLd9GPwbZC2PIWpdU3L7EfY9GuqOGSSpD7IVt/745z9akI8vGRz9E6hxzEfU0hi+t0IVZZX
5a1zDK+TFRm76R0k317zAbdMpboue+e5rwVsz6ysXic7kYeWnw13/CYl7QjUWwFnATzUupi1+T5Q
U8kBGll4yqZnB51Y851g22VzU0r4MaEky5ScYepE2CoQmX0NC6eldBSHtlysEaKRl/YFwrTutu3C
nLXqWlGnXeWMeOxzMAsx0KdwuKqGdnFHvb+0bpd6RJbOulLe1HaWc5wfTIarHGyA3xfn0ucHkzFP
QII/6pm5T5TqGxj8tk+cDUUVOxl130XPb6CJqJKceCegHzzeHqYAznNVA/FuJvUO8/PNSMjiziED
vWzXk2P99H69F3Z1N/mcmHkT3mImkgCnjZoGzxIz+UIJDUog6h8X285SD/UZNwjByE2JyabBNHqJ
qg1raI/FV9RD/KC5ZMFh+En4PlBnM9ZPIvDzVWuLD9hQ/BSVCpNrYwHvsZoSyQ5puU/aSzZqGO9b
ODkTbhoX0b0OICeru85XmGRmC3ibcx2JRtS4AcPXmCfL0umvadAAbnG/bWkBBR3IHTY5nvfpMjTF
Nc2UU9tVrFO4LLCUufUm12xm6/Cozi1tim2RL8tVc5Ekzhv96zs1UJ55ufVw/ZS3IvX3fLwdEArv
4FydZI+uobf+C+NVtWoKdyNFf6/SB7/kInZqcVnZLXWx0WjXIPKIblFX5bvqtzMQ0PQnSs4N98VP
MtgMY/VgSOXsDi3OiBkVDhodxAfPGx2Qd1Da1xGqeDXjxcN+YIS16+9Mgh43M8QaAY285e6AjQdA
eTmjypmQsls/48vT+eZU07a69E1nBff3oQ4ciuBF/zo57s6eEei8IWCKRe6+VnNnOdSA0qcZmU6u
olu4xGApoRdHPeyC3V8fp/7f9KhysP7nZ/Pr9/Sd5N//cZ6a79y/5ilGI9tx0B80YQnTmOWHX+oI
vyJ0S4MjrJJy+tPZ3PoNAyozE+gBgkXYV/84TxE5MsHi4WCdyc3aX5mnzL+1y/1pnuIwz/Gdlju+
FAgE/uJ/VEdcC4oRTcXK6q1K6W9wrYNUK88qEA9AvELrWNh2scwr+hByiu37y5UPmd5zI7HF188N
845LTtlsyXhkYploLSvaYgRNlfjTXfw6HXmGJk8d1IOr9lPd1fdYUBnP3jhkL4s9ADLw7F/A8itr
Xai7hJOtEa65iZv6Tj61tFSP2GSsRYd1tiHbwK60MJVN+55AiIsUc11bX0aMXkiLzHq+F5FJtBby
WkVbkh1Hd63eBmvnoNZ8V5f6YfwOAXyVa8Vf0flYkjwdLsV3+qAM9y1e3P4+If/KXlSuU+vMZpno
x8hYh1RIKsEjiY/kkG2JerKYleWuKbdc7F2NvMMqrPhnGlVfMtww5h7XIw167I6ButZPcqUMXp5h
tT3wns+NdRZ4JtDibBPZO8c++/7ObwDi7vSLHW9JVr4oGaPGlmqGiMqnIv0q8Ol0azoz3yfWzvjT
VZZdf4qmSxaSVfffcIy2Jn+PJclazb1n4167dreyhwfcCzE3oQwCrWovODfU1hvhgKbcx6ZDqOgt
4eQbYWiN9W01vZv2TzPvvC6PI9V9McJN0W5rbFPut1DJHmPtvIXVR9gdSiX+VEAliFF4SewR1Z5c
g/QbxswS34WFjYACW33gvnGV+qXzH62fSe4qhvNoeHdfwi+n3Zr0pfR8aZPqBj3fmB6NrPmkbuUt
Qy8283swVetSfYm5B3b5T22uu+BlTB7j6l5dqtC7O+rLC06p46KOdmDvrQq7V3RPl7OJ+XQTqpfK
aGkmN1e2DZr2XrXipcPLi8doTTavdReqd0JDw8vokYd7/VFeL9PEp+ZS5Vzb7ex7V19cIDXUj/qj
/lQBrQsJIiyomxiXHePGgkxyeVX27uu2/aictXbNGcs/dMQ/PLKZhxpFhrkql1Bv9AWAkSMM2FV5
F3rJQ7ns7vyzKJic72bd5h3ekb5vmI/CVXp1HW8KEDCWmLcvXMLrS/NWo8DDgcB5vMqbqxgfOvVu
KmE2ek17dTO6FheiXjGxDcVSYrYw7+m612lNwhpWLeo9FbJLXBRn9469wapW2VHfwC1ZQNnWVvxR
CWVSxRrbHvwlXv5v4G9ZEPylfc+kbSz3Q+aJh4T3wb25Nz5glYuFdNap7cltvHFx01GM6sHtcipv
tO6EtY+tJcFChJv4MYF1XoJVWRIMM89v1Tu31h+K3p2LsYFX+Zl9WKd5NnnlQG/Ey3breNlHixMz
PzeraR3RQ/MJQAiLx+Oh3cOVWCj5Mt9nc/swpuXV7GLb9F/hNnpQdsyD0xNvSK/cY5QMF7AWx9Wr
2V4dOqR7Oo1p8qM8kmcIfj59aVPCYV5npz7DrI0DnOiMmv60SBQlgusLAvOieSNUrrWHOtqWKZ02
SwsX0VrPtrl81Pxo2YmnMvyZEo9A9LEwF7myCWnRjDz7jX4MbpZKfSThzRRYqng0dzjoOHB9GV8w
PmVAcOU1dY7BQwTUm7GCnvCPYG3ehrUBvqU4G2AOkTijezU6UJmtRIT1x00lFtUHtjn+0xfbvN/h
I4wkoyXe7DCjYLtafBVeiYbFA1iForipOHzO7OJr2nu2uiKRSJIUwBxXGFQzUN/InG55xC1p1St3
2o/OrR73xkExVva7XqzDAJEXb/utj289j/Wof2qf42+H2VzZOu2JkkU7XtmvCN3CX+HjVYNt1t5L
rpDJLdLvwRDcazw+aa2vW+9/phBuJDRyERz551PIMfou3+N/ZN7jt/2aQtTfsJmauqtrHGIIKyOb
/JpCxG8Adm0GDYsE06zr/PFGY1Ec4bpEa34VQfxB1TFodSCywZjC6k285i/caNTZVfgnVQd3vGlq
xvyHIeqo+t9lqXUzs2Xs/h/2ziQ5diTdzhsSyhyAo5tGBBAdGezbCYy85EXfOvqZ1qBlaA8alfal
D6lUZlbp1auXMtNAT2+SZpn3JskIItz/5pzvZN2uB6ZQA3YX5DKXzRTUa1AzM8ZdS1ftFGAwJchy
fIMo9T7D4SviBrLHEEM/s/YCKAvTG3lb0Y3IRBCBJZDNDnqXH5lj76IKYBIIy4Mk+J1JDLE2o4GY
S4fXglVjzZf21qTpfNECY+HEqLJmC+ob2YuKjnoPzJaBai4RAxNVjZMokM78A+mcvnGd+dwTao0/
49VZxzzgeDYVwZutbF3YSkXJRKFDJoJeiMnQVpGNTeDiFnqF70UEVqyh2fUan+2wEG6J88zm5cvk
svegxs2kHy4WQVa9Q2IhPh+AMV/ukvPaYWu2rLDdHuYL0Pq2msj2krw8F1u20F1woGjCNgSWB3JM
fnbcEGU73WUjF5D7FElZPdQtqrdOOIE+2T9xIdMl5U+4jmwZPy7uWWInt9g+i2R6H0V3p0/q3mxl
CTuiv0m6xFd6upctOEXXdk9JyRnijgl0yhIWuriU+ptVz57veuUH6wC/IiseWiysTY5bDL7q4hYT
6+8Tq+LWvTbVD7kihp4j49LWD3Pf+yULJTnLw7o3Y4l+ryrwGCY0R0Fsd0+jGs4kATIDlGOQs+OP
hgbh5aM3Nr5VwzzNbw28FEbLhIfq0ZXxEZRKAdTebAZkRGgbe1N7K5xjs3p+w/shpNh6ZsS00WGu
iiE6hHV2IWv0tU5VgP15j3xm04F3XIQN0DOoWSDqo+CRbLc4udEIsS9py08ptPu2sVg2uWlCDG/Y
3SyJTi1ZNGr7H0ffL0ffiiv/146+4vNjSf6FBoz/7dejz8IjuB4raJPtX2fTv62nTROMrYtv0DEE
s+Xfjz6H+G80brYNvo7W6I8NmPMXw2DTzZn5q3D5zxx9v0zN/+boYz1tCLnC7vhuBofp3zZgJuCq
fmlje8c2zH5KJvzv2ig4UTzAtLWmnYuKUhjdNcDbJEBefBJaBXCqa7yNFsYpTO1aPTYhLp2pwUlR
m8Or6DK0GJCRNq3J5ieb1Y8y60+iGckJTVyarCa97t3xtZo9RqGaeoyz5qILFUSWSVoFCVFmk76H
k0ghlnYEPETmTT9ntDqOS8Kbmg6m0yufZJ3+o5Pwziq3exE1tb3dufU2X+SafiuOsTIeYAJ91c7K
cS0wMHqMocyKTKzpzh7AntUi0COKci3RbyVTwaxwkAPXFeYccN0xlhJ0JOs2bTt5pP+UpfZiWIoB
EXPfsTAxuC2g9UbvStPMFNc4JTN55I81rU+e2pJsNZicluvQwnJ2TtqbzuGPINC8jIKsF3vaJbX+
DcX43Od4xfXys03qvS4fa/wbOO1u4sE8MRt89iw0ky0QKVNjN5XqoiHDobr3yijIsxr5kUXYmyGC
NtF0PxrHU2Uv47lf97YKbeh+EHlLmGtHDK+tMr9yqCSV/VDxozWKCDwSgLfNoDHfdqr7cEh2TNof
+7H6aD1xPQ8UwRaELGLie3Rc7ph9duz1zVRBQAKiOni8pu5i1iUMZnmDa5bFpLzTgevCIPUb3b5M
Qjyi2rlKAJnzdKmtPk5X7ihvQ2c6Zr31XWbmV+RQMmYl8oYBDWwImp+Yi/rc4T2MZEdpB2XDNNvD
7C4vDi2X4YgL0+YjDV+AqX3nWsBSITOh490JsFcIyox7tDxsfrtRoULEe5/NzZtDvoVbaN/xHH+1
aBdKyDsMHugfZq6N2s2Oetrv83AA5y7m9shbTWx7Kr9MMOROHQVxXd4Qj/mFggMPqgEXCyoAuAVQ
wuAR6I9LjaC7bhkflsLQjrUzHKoBL2gqXsLBAKmh7lnFrkOPbIuAqA0iqZ7MOX2UOp8xFkWDGxDU
XvtYGbPDYuMLb7DruyG7TE2DkAKTIsEbj8vWcTG6G01gp+WPuplJIuk+82g6Mdn/tq3VWeDVe1ap
b/Ok8N6p45DE5S4RuQlvofysW8RRm64nUgjxyLLe54iBY5GjnkgAqqZpExCNp2GAQmQ4FSQGlRmq
3ZkeQcXzfQzlIxz10FczQmxpMPTtjfGu5GOGcRiRi57bCoSwqZe7rum1E7cdSSUxSxFOEgKTVmV8
Lj7GDuGrqCGQRdEIhjzKzH3UReTsTLEXsGqQAYugvWk43cYY50ud1296iRY60+jKreskdrAOutoG
RcS0pXakSwASnXiY+FeC+TZDgMbV2Q5BlKUnO6Oz1PAabpWKOx+0OLlSUjtWVr3XWCiemR8sh3Zm
vDRX0M76eMqOVddaW3OZGVIpZP4LzqqlxyRKBEw7D/f1mhBe2um3YRs+wBALyxCQGa9o+GrxG7xm
aN0Y4+aBhbc1KQ5CHR3kwkk6ykuVLsdWG65Lqe7RJz8Ky7idFE/ggF8T7LPPQ8v4pvm2G07kJAnf
izBnHq6iV9XpagMy0SOtKzlnWumTUcFMAhUniTPk15h2d1pg4tjGfG9G4CKHlYuTZ3dl2UiAnwUh
EZJ2qbjMnXGFJ/KNA4bXY5+lrRUbvUsPkOgE1kkZVNVySO0Oj58B10DDpTX68Ob2IR5Pr6w+pzY+
unFyyi0Jnxx6KCmXsM0W784kOGKJ0UXsuj7zkbQSRFl5RokEEuPf3qvXfKG89IJEyeIricUUeHZN
pdcPNvIcnKnYxp5aMGC36NT7HabqH+Cjm41ni+o1ovA6znbG8cOKldl24ez6sBe7buC9yFvkVUus
sahra6KlwykTz9Viw3fR3YF1RDT2zCwihJN1EW5DHRVykbfaVjO8fK8kmKS6hzyDxBCfQnEys3wO
6oXGsx6nu3Iexrs87V5ahVapFb7M1gKz3WodcaeTSdZaw6I0mrYWgew8gPV8JY3oDbG8www9u21G
VCysSKHXZ4Fm4+G2bPveMK2dW9Hc95V9xyoVZD3u1CpaDamQ3avOeu6jurnL9WbfacphesJNXiCx
vrEUyey1a5XbaDHR+XSawAxvgzbVnU8849eyGMVBthpLT7s0TrUyp0Na1V95P8H0mJV5BdCCaCDH
mu4svZ9YYa5CHURUsETbeY2Pixpf0zq1Jy5S+bZufxm9xnjMqU91YmYoYMcbDSiLrqtDMQyBpixf
2Hhuo7Fk/ZGOm9wStm+5g7sxVXw1GBqD0gJPR2T2+Taq8qPK4IsOrvVDyLrHHexYaLBpBhrFMaG8
T6HXH+vWaBImKVBhfdTAAPjYyG32XBFOQzRFygtv3G66Lk3cWSMoRoyZ2E69Zz2NL3E/0SgRTsQZ
hEKsd1a+dgtN1ZOwosUe8dnB0uC2WQvSX8vq3xezKO4s5bw4EUItyrrYj6cO+2WCAF4bCWUZqaRO
LuLCbYh16vD/faX9mzZ0VVP842L74YMSCCpHl/xzBPT6lX6tv+Vf1skCEwTp2pZjGMT8/KH+piT3
pOusAd/rlON/yUPZjcgVDb0OA7AN/jGeEkvh6vXDCeBQt7lsNP7E6MFcJx9/V3+jcTFYfrCJYTTi
0QT8cQEyzlasF2VuYSnGaleF1S0H3a01tFcscO+9iINd9Rq9YJQ8ITx+A677AvR22ua9e8hM6w6m
MZXcdOKsYB4cAhqLOR6S5XUuR8jlRcE1N+Q3sUSj4ETyO3cXEPsT/bhdP8cE2oVdfe3wN2ZAqLAl
12GzOwFj485bw7lW6lHfYBjnQwqsIi+1o9cjr6TbL2GzQnrbmjoVFQlqGhg4QBAUSstt1y93cZtd
9SgrC9oBZVZ3yeT5XuOdR4/+lWTaIZSHjALNItYMozCTzyGww+wdLvx0gNCxa4fqgdsDMSpUA9xQ
r7WLlXCqAFwW1nzbGguHtGswc18N35nQYTpVg3zJUlJKkOJxy9q62lN2nN2xY+TqPFVzw7mjN2T6
IJ8HTXLUwuxWqfwqHNkD1bI4NvFS+cYyf0Tt6oj0ntleXInuWWgTgrCdOzFGWLAc6H3xYXMQ1CPg
p9JD/s7xYK/nhL2eGNpkHQqOEHM9SxzXOpGSFiy404kYIhJNZxOzFqPluV6PH7QzaDc5keBgvkB4
3bfkRvEoPMWqYwmWFdcCG31YRv6gQyczW4Y38VvL/qVAh4gGGmklyjeGr92UnooRhU5+NXQYRrua
5U72Hs3Ox9RBofDsdQNkguokYx5EEz6zkEcGuzwQZ1bdNtI3XFYVZC4mKaN1I9il73oOYaUTmyn1
4hiv5/NUMqturdelY7+1mNq5i5S7qQAQNUUXAKtzFY/CuG6QxvmlZLa0pKxcGrV3tJuoXSVKLZfP
iJ+UnUWzcicqLDiYRiIHklcz30g6yLCfCc6zrlm4bd2h6LdE1ROnN4INX0cZvb2tSnkSkEwNMXxO
uRnQvQJcdRdn2/b18yTIvfEAHfTRs61eOrvakzjy5kHuqmrEDRWoDrqJs9KcL01vDmlJyjjDlUNk
qAeyuHitOlGY5HpuuqFTp6bAV6Bwiebh9dKZbzhmugdDhICvsNyiyja8a0PMkR/ODMFHaq94gr5d
NX7vfWayZcvFTnJBaoNXM8mCxWp2k+Hnebqr0DYNTsg1LXdGaPneNOG98TYjUVvSY7kwONe5qzDd
nBypgjp+1qDoSgewWDLgGHQrmrM7uOCIEnC2MUm0CQMtiiucwet7Eaz0n0iUOwsNTpNlO1keh+FF
X5kSrKf6tCOf5kVWw7ktelxqOqxmEiFbuap5/SSzUQg7d65xyj0WCnRig+MFfblbquuWBi2HrWNC
5eiN+K4My7PevueQxLDcg9y989hxePwI69YnqjEGhwEapiDhTer4nM5xeKVKvC6+XuTa05+/M/+d
qS1/uzNXreM/vjOv/vpfh7/+5/LfcGOuX+fXGxMDxDr158ZE7Qj3lJ38rzem/ReBeBDpo2tIuUoH
fr8xkQyQWALh0tHJ5EUh+UfJANDTdQZmrTkLpmP9mRtTGn9/Y66hCVzBkpk9egFhsDH4442Zu1VX
LWgid1E9BvZ8Kt1xqyuYQ3ySZdzuYx5plNgQ63cTTrQaGn056ZccjgOLqjUUgECzWvzUi4rPK90I
zmSYdiv5Ll4ZeGnWtrfjysVzIUTYG61rDwyhcFwv4Y/UZPIMLQREHE+yTrIwyiSWz9VK2GPidawH
/YqPJN4C1oLLSuKj+dCIR2o0johK3FoyvopG5Wzawdu03mcMw2+ptKDJlO/NV7qieeDulSWeNU3c
aVb4ELG/Hlo/h0nfAhp0OrknuXRbxD2y7+YQxaMDHSdyVyzJS1FXu4WBVKw7GKDrPbxWWJvVd8/G
GDIe7S4uTBgo1+Gg4xmBQxiZ8DIi52gwnoFyg+V6iaJHT88/Y8O+FXNDHFvKUi+VgEkTFJmV4aXQ
YYAMrMjD7pefie+WrThE3Ljz0SNnOVvc25oQXSsNAxCAu6G17g3aw1pyCgNVnKrq6HKUG0n9FY36
u8jBiLsZOlNUqBfRAkvAlTW+FDnhEA5qjayiSFBBKgF1i9shBX+t/0zQuYsRErowHquV7WgjE2VY
APYABkMC+nHIS9asrXW7lLx92fg2S4juLscVt+7Qm5csbo+WIpnXBFtJu8sk1HvRs5siAsoze/Ur
jsJ2CzYG3XtH31iBEiMlGaCUXj9L6YfhyWwemkUcdDrsaYVV5kN9KMg9pm0POq85tkb6mqxsS7e4
m5MGkSjEyzI0782EZUKFPupptB69Vr2DZWHdExXXHrwsRBawoAFoorGDnJIGdfJDpTVgmAFmK3qU
FbqpZng86NXRqST8TC7ZjWvfuhtN86Uip0ZLB3bJjC1q1KQKhGcrpgcEYjdDO+NHmu5LfPHZMvEs
1dppoiErgIAaAjcwUFAlyQECEgqe7bgCIhzwViRhvqRptDdq+7qHKJqY9KwC05KTryUqZH+7O9CN
H0gkQ08zshiefF1Mp6SnoRqWMwMdiDsTRdC1R7eOjD+cZj/G8LiM2XjQVq5ppSfFrl1zD/qaZDxl
hu/6MDzi8ty1eHiHFMRB3wjt1kyJwSA2wW2tQ8KwryRsWhl7y/goy/ropBfSlIIZ5UnBxUh0Hy/v
3o54aqbTmKqbEt2xmmhSW5MZ3HONyTl35oMNeRNRHr4T3Cas/VFik9O4LzhYCsf7maDGJAUBTUio
y+tyTuAEvxNQcZmzN+0Xm66GQBj1gIRAQcOKJ3n6XhBuKDZ9tk4yk8iejPpJdt7jNOaHTHuH8b6B
1keeLQ5vZrX7YiApUVzFC4lGo3hQefbTQ6a9EYbG2K9TT5ZRQ5TF83MFQwpOaEVS5nNPlEWf1NfS
0G6ZU9y3ibOT1voiCL0g+eLZrpn09Yt4JOCK97FzrjyZe/7oUNi06DaG6Kfu9N1BLvMD832s3G3/
mrXWtMXAA49NUeqQCA5OUPOL9CNVE1w8Nlr4mC7p0P2IE8mczDyPa3aHNVdfqeMVEWQNhJkVgvfC
QGGd6LLadCQ5nKpUP5X5sjXawe/FYG2zNYIsdg3C1zFuxWbibCalPwmLb54zeg8L+8uzpy8jt/3Z
Cz+RCb8BH3gfSYnqlvVMmzwAdlqq/C5GVkKAAwTcKLsh+/NYdPiLR6ZC1HDz3WjEHdLO1OQf7TEf
SNZpyC2BOh2is1mBTnhoGQ9ua6w5eLqZOYImA9mxMXLUSPbYX3gEz27mkNggjA8RVu+jI49JnR1V
6OKp4xLCqozQ3QVD1dFkOVqXPfTZVFJzFyRlLHrQJWN0sCf+ZqSN13OVv40jA8Uwv6unRdvJOfm/
Q3z/fzJFSv6r5dD9X//LL4rJfz5AWL/Or+WQ8xemBkgDUBzoOuYPxgS/lUP8iU7bLqGASs/+gyPF
/gtUIVfYDooHx8Fg+jflEFUSLb9j6waDhz/lSLGt/70cMiVrDs8QwkRisTJI/1gOadCke9I3QsLe
Ij4qTUrzH715K2wuW7Fzi5G/VMQkQHS8T5IOi0RKmku9PMWOAaeH/BDdu59WlB2Nqm/l7oFpyX4i
TjGYbGMzQL+LVgxetLiJn6GoqdAelpDyDNn75L/vBSl4HlM9tzBOk5UC0QGDQSUGbk+DL70RAxTB
FcXXZeqmhc3HOeg3YIijwmLVjU3+QHzLnVyJflmT8imA8RfDtJlX6l8ilK8rW9/mLgIIFmDNHpzJ
MQUUKNLBfIlXfmCYKlgx45HkSEYeo3FKVtagzkAaIvohVPZxBkbIwTxzoNQfLpjCesJECbaQhE1m
K+m+h/DXQjVceaYVlMOVMoBgbLkXvwAQI+dz6SQLjOgsV0Rizltj1sO+Ny2/08Uhg6WYRcV+TZyr
Kt3Po+LOg7lIBkVgrRDGuibIA8gkflZmGdeANnJ48fJtEHV8IIuleWkTqZPEPLETGSE9YoSr+JUA
f1wpkDKmWmS5gqJzJUSCihyndtiOqQGsyUVlij2Cvm4Zp42pEQWlCdjECwpsvHQwKFUNqcZNEAaE
ucM4OZrvySXZx8t3LfvPOtd+WDMjk6Stef8HmkkzjWHDJPsShQVEuuQq1ZfuCiMPiX5W+d7XYYP0
sIVuqPJj0VRPOpuzbVrDdbcRq/cshRG6ivcubkvMe45f2dO4acWyn83+G0YCBYF2xp9MJhlhZyke
grp95uNy08baQ545H4VGyKohsycabBwU1XQBkU1kFUKUzaiwLwO+O07le6lsbqWeIteFHpoJhv6L
4QB67s+o5B/SJc78pU9enMzYuwMpqEbIlD00f+RTqYGiig95JBCa4AVUOhDqQgvve5AlB1jTXE+u
+9GNkP9lOT66c/VYVzxIYe36nTR+DkJcD7aGujN3zp7oLo1deidb7wIkS9UVJgXUJwT7FnJ5GAgu
BFKLtBbEJEW8G37P6wgepKkDBJ/troaTI1ApPPPF0zVfCd7DsirZpkA8YrjUfTZLdRcO2mnQsjIo
i+TZ6YufNdlYbhHeSOW+lB5lmDS7L6c03rOi+8l4497uhn2shpu4DwuufwetdBjWEMo9m3V8eMhI
wZJttm+s+cUjX2zXdLD8YgknOFT6T+KRGGw7Js/mkO7mqL7NKu1su7QwpVtfQgfr65IXF0SI33ZN
0aus/tsbTPjAIKGwZWDJAqy6i6mpy5H8oUXdRMly6bB2tHU+PZStuKlld4nt8cHL9T0BzQBTI/2q
WrR6B6QfsBg0J8etiytaVsKSbAsKhV6/6gMgsbBlc+GaHW6wlU0uOCDG5uAIpnl60sdw0cbzooU+
27PAlfOPJAUOlhc+Vcf1wpIbkqwPFmLHKQMkrExrsn7TG1w6+zg3b4yZjovvXGyrMMVyQsKC6gZq
QRN+E1QtLIcbfoW+3TA4NEaMT3a8BPMyJheblTManR54isbuUx/oTmxqN+EM50yfnI29MEghL6On
nLOg9KAHAgomt6pFtNNLc75Jps7dZUBZzNaKfc3Rz2UlvmKxwjLcPt4Xosh9HrNun0mP0qj7Lhqs
WCVBaNu8RXpa5A7CtZCs57HRAOaayXXlzsuNZ2cDefZYvYTTscZD2+1A9dBgmm6gzDFQja2gspC2
dWN4KNLxc2ZZvGua6FRW2lXXtvnPTJMIj4oRfW6nvDuSYF0Q7nRdiCTGwkZDcphV9RPQQsEs2XCj
K6it3cUAFLuA19xp+qrbVpwPoyK7znpak5sMWSTXGptq1lzYT2JjZzUV5To12USRymltTYb35MVL
lnwkbAxg0BsJHb51X5buwxhS0tf0w5NhnefC9gLweD/U6hgTpbXn6H6G7HZbqeTDnlnY5MK7jpYM
ommWPtfsODd1a7J9Zsh71ZnhK1KSb/KQgnAaUPJT9TqsKDX07hIZyLpKNNbZdMYJBpl5hnPMRved
BG2SNRYM6GNlA/Xrx08rIY++XVPD4hLqWJy7L2RrEZxGzOETMznO/cQ6R+DGMPBTCnKcXutrrMQo
BkZzA1EThgkPLluWn+0aQ9HEOLKXmFWlXiLia2Ds8K8EVxgKREBIloUegVst2bBtFTkXWoHbyXEo
PknAGBLs/skaikE9ygM5lId4DcwggChoLcNlS02YBvgUbERrwIZRmCgByNxo1vCNjhSO2KX1atCg
mV3+02POsJFEdmSJ0tAeWo+ZmQfkyX6kEV0qIR/1Io6dKtmrmoRBo745rR7BXOH+x8il8VkLCQdZ
BpbXkpOihkm1ygpace7WNJFIH9dckZKPh4fZPklvilT3WIzI/DjNTvHeRESUxAif2SH+HNfwEocU
kzSzv8UaaxKvASflGnXSQ1NWZJ+Ek/7a982tZhjlTZLMGjZZglKmNTIFa7LhZxA/fW8NVLG79rEc
ozt2x82OT3h3HElfgR/y5cbtC0CyU7vGs/BjFH62Rra4a3jLaAHE5tYl0GVAQWHWLB/bPr2i5+GF
e8O1F4MLHGAtaqW7n6Dc6A6eDGu470iOgYFxTkiSoUa7LQxGrRUZM8Zg3OpkzoC2wVDqpi/uOBHk
xeVUp9bRWYNqEjMNOpJruoFlgEBZMbfxSy294xhap1ToNLZr7I1g1stRRx+7RuJM9gArebzEaALK
NTQHV+Ft1bjuhkDO5//0u0enXfA0ZsyCTX15i0YewEg4N+bABj5J7RdPQdYNTe05l/yCLO8ucdHr
9z2LHVTvRikuXq092Zn9VKwef+waJgqdqdUCIsVXPed4Pw0wm4Q61AMZeqFb3qQDck01hl8KHw2M
tkf0Ay5iHtfZjIKo8wGqb+uljzrsu43RoBXVnTzIcF0bufNZCINQSj06J7h3mJwcSXVjCNCmxL1n
2m5SzhugsRqvMKYMIjMuaW6cMPMGS97d1aX4WuKUdBGcR7OhXhmyB6wixt1/TKcd7GEO4kbJGPgf
T6fvq/rjv/+3f8Nwev0yv61zXZ1QBfJldUa/5moo+22dq4M6478yfEYZvm5af1/nIj+32bEhmaRP
E8ytf+cDuA4YIBQ9LIjZAnt/aji9coP+bp3r0AwaCNmFY7vMPP62GytnVaT9SBkZgjeF9AJranqa
xuUEq383N/IcJm1gSHXVsEw0ra+RM+Fu0Z1j2YkfdeH4eZl/KdYvySACs01fR3O5kqSz5PQyAPoj
+P0ypsV6EOI7iuvd7E4xEEwmyjcRJFA/E5KQ8iAdqjdlpod6Jv8H6himfWqGiAFhCnlQs8tbKJxX
bZFdc31HdkV+1INXZ+d5JP9LNMcBUt046zeME5GFkY8yvXsyeZxYRbVreaMuWRK9SMoAvC2qhz4Q
MU1qUgKKmmodNMbucugGTBn1QK7Top00T5yJoNoV3fU4O7foSkgZwJiDxM9hRBkz50lzeUYn6bss
5qzYOxQNNdJEqgsVZGE6ZL1kL9D+N7MHs7PtmQ47ARNcLtEqIVac7Ja53upV3CL7W+QGoeERSdee
RXiAYHNEr0o7lNsHy/70Rvavcb11meSxZiBo13py4A2aSzMHs5eHNxFQ+1fak26WfeBF65zHq74z
wuTajmCGacAFyx4ENTWmZb3FcJbGqEis/EyRSyILy8xNOjhF4I2lT/gxPih0XLMFYawlHQuXU3hS
EMGvC73Ecmtz79Vc8O7g3iy9NV2HAI3ehJXs0dT3BzuUx4EYjm4knhW9am83z0lHYnMG5wH/PX6y
JL2a3Jee93EN18wtZ2ta7m3kWrupZUAuGSe7xLThazeALV5sHkC1EFtEDoI2hT6pultlPUyQSqE6
4EFsdmlm7qCgYpXviIVImW9l74nLHg/Sa2EkJwXhTsDczJvqwcFz2VIPSBRRcX4XmeGWt1nPX7vV
h4dNfcYDRUFtXPQye9A7gVJ0qOadtAVdDrv+bgUnNPNkHqRm3oqkCkqvPq4SvrBAG6SKn3CxFOU1
/cJIGl30IG1CQMX0064oNNe3gWvhxch6ute2wDkJdZCtidGAcAAMTIlSeH2QetNzpbLrkDs+ltyd
gDyuJV6mPku3tupBp0oYcu79NH5ZY/SzU/fc4sFgv5r6sE+J/AVruFUO+1aAQ/WU+R6PV9GJbWmG
8mRFimgPavixJYXUeg3ZgYewfUaw7N393JRbY74ote8T7TgSDZcuGpg5SMUo+RmOAmp6RXWKbRrQ
K+NjNTMEqOZ+l2Bykz0PUgvEN8ku3Wo2FBmC1zxIhO7X+W2+AHbuTKBTycE0SceiUgnTuvBRLflm
Xp6GJT3hVPcjXJG6yWRoZjrqKX8w42s4gGfctqc+pWepR++ltZt8p1kJlKwkZTv/pjEE6KvRnzkl
UpRtTkFmYAve3ym/emsXcYO2TR109ry3moWsqwyFAIJa62ug0AkJnLEECoLvFQiLbSJwSCfTJ6bt
JoLtwjqHUO1npK0ucgmLUlb/SEKKe4r20kYxzAF4ydu2eTGw7iftR8kU2E1Qb5p4boaeFKidYIq1
dwxsKWk2/dDH8FGRxIEe1LrUaYEDxEVAaww/w654cRC51o26eJLeBLLTg6olljpw4YFul8+tq70g
BMA2Gpc/nVx+L4N8WsgvH+FXkey7Mp+WGFdbFxMSQlaUoZpr0oi3IVxhmmB/TrC/OMywMsjd0y+c
Q2LclmLfdgvJvB4AmR5xd9sC5SVOwFN3LHyeKntm0E0RCwkTUlgP88WpNeQfjJCHFg8dWP0EMJY9
NG9k0JxTFpcFAwuE5NVGoaZ0ezCxhfVY12SUOYX9nnjXJaHKiYgPIiKkQSzgNpdVosMwz2MjKiRI
Npt2H8rLPKhtSkyOWz4pyfSLHOsyykl2TRRBsaSMTO2CQw8wo5sR8J76hau3QaHrKBEBndnO09Jg
t4zdS5dbJ2HVVPO0RK03w2ZanOdYdC0CHxX+H/AS/73u900qiH9cQT0kAMC/Pv75PHv9Mr9WUNZf
VlYSsjfMHubf8RJB4q+sJIvpiP0LSfH3CkriA3QEQBBHWDj2/1hBwUEysa+sZCRXZx//ZwRxzr9Q
QRn8eISbCox//9Ow8gdeYhEV02wukt1XvxTbeCYWUCKj71a+W5QhbLHnea/JYsbEmlR7A6fIFlbH
VdiNBwWHrGImZcjIh+TX7aeOKFPNRm7dEJL5Orf9OnVZOxs7zf264Q9M8jS2XZEclyRCcwxFQIHq
D4CubJTh0dI1sJhTbnj2VRHT82IKRtO+1hE6XeOGf5OpjjsegbQxVcTPFMy0VEd6NZMptw2/i3F8
YlTI8E3blSwwI6ivIb8G4rFDYzfZ7bcsiMHAVHZJDa86o9AmcgZPcJHPV+DK+ZgmHaFWRHy6hmZs
ge6Qq+7dO7ERNEtL+9g3T0KVn0ZGLE5mmIeu03Z9J8iiL6kjCZp76dd9K4KfTQzLJxLRaaZE3uVR
e2eV3TmO3deQaTfscTfel7nTX+TANNkxih/zkF0inewVhvxnuxJaAJ2LTprU1E4hDCrD0QJo5546
7BLYmOQNN+Fu1L1vao8enJ9xrSy74UtTErkxUPsKlXXpuS8qdW/HnrisZjG2Y8+gqcgIZwmtuyHH
fROXeAYymw62tMOHzKIPXyY92iZFhOVQSZS3Ms322bqSRCotjxYDyn3TTPY7Dp7Yx0ii/LyNaYk9
Vn5xYwSIh3MWfe6x9FIKKTwi/mTRWtchHCcS5k+qdS6R8HBH5tWnGeMykcWrLDXBXCT5FLX5SNux
V6O+W0eG+JxZF0ZjsDRUDoYrDg1/vC17pIsFWIHU9I2peBqALFY9GWR0DBtjwT4PVNIvJ+LPJVMc
qr4ori5VnV+PLs4Ee5zRe1EG9+6ZAb9Pm0DFLeNzMatTydNvzjg7vbB8tCfg3gqWRYsFMjSOKYvo
Vlj7nvUMA8czkYmHuLOPBspJR5U0Bg0+zxD35oQojb7jgbCVvUzy52VpwUz2wxIUBnQf2roCcjBe
/2LpHomC8+eMQKqIdLQYJ4aQBaYn5BIE42GQArrOEGhkzhqRa2GsXqoRUxVJhsesGu4MzFZdSG1o
qOihworlFeLBwppl5XqPCE3WWxFFWK7G9qXOKUrYL/cfxuruGqLxf5B3JsuRI+l2fhftkYbJHYCZ
dBcxR3AOztzAOCXmecazaakH0+fMqqzMrO66Xcors1Rr11UsskkE4PiHc76zM3zamVY5vyYsYGSY
ApZQrrBZBk+28omBmXwcIVcFGMgkRrKiNZttj7WsnMOzOMJrxhQ8XxAFf4ixoVUffrR+AK2vPGpe
Mj1YjmyXgotPTk11439Y2oIh8zCU43PrWmQCGN9mDHCpcsK15JgnsnIXjjMY3FwM20p/FrfE5Skz
g31rkNzJFLBD5pg7SG4Rd+B6S2sGSWM2k1vGMVEp4SrWTCWs4T6PQkU4VTrXCsGr1QGWVwpYQbnt
SXT+LnrDDq3sqET5OnpN18yu5rai+q7ymH6tRrKoARLPVeEVR5+Z1616EV07rjwak3Ae51iCGMgo
9Weo8+uhYQfIuq/bhFIES0AvV05Y1GuehEAuJXpPVncaQuAieoyt+CGlvB3bcVPbYtfzybKo2tpC
uwGkHKFVcOSCceBJ2AFZJWtp4NpU61AL2gtDVeNpT10WUahbFOye4R+DsTyjsmqWHVV9jw8jo9Jv
8nITxqohFTktr4K+zpKEIV21CkLLnJvcbViXtWTCV/cJLcekSnbGwA6AJI9dZoUqK4AHTVA8Fh3X
x6XhdcPbgFihUj3UOMTxm9b2I3Jn9yJIyaiGgSV4eqriLKcdq1RflvgwFQwiTlYyRGMi7bZZ8UV7
madasLfFmF19vLFV7mXwXlx+od0QfPkt2fGHf/yPf9fqxWTS8hfVCzkRIPzf//PyRf2cr+pE1yY9
AOG9JXh/KGn+bwMgQUIQ7gwXNytnFLyBbwdAaPUtvomwEMSLLlOj3wdAKiLIMjDA6r8PlP5G+SKl
Uh9+DzQCs8ZgSjcENYxpoiP4dh3f6F4voUR6Kzs0j5jWdkmsmD8VM9LWJ5+drLgVeeDsxXpJurj0
j1mP6AeVB4Ntszqz2LlsyQOCRZCoPigwQdxF9/1goTuuxjNTAyo08Pa2EFQnSXc0xHyY/WRbux0J
ISW7dU8F1fbOXkf6TPYkMRGEvlmEoNedcZrNKdwXyoTYNM7Rx7w4wtw1rKxIBocoq3UHRHbkCGXl
VZB6D01vHpx2npbsB3ZGamHm6ld11OFJleuQ5cbIjCBmViBSZ4MX5jrCMxAm9d6XFkjpfOdE05aM
6peWyEqW72SJJDUdRc4+QbjrImHDPydXIyBE4dRqXt0vCsfa1KxwBsItQho4JdFOc2ct6nkf1P1K
wh5CDMHKXp4EvP28vD+vqADzPLo1ScHcGCasm7GNCBcqfALNI1+5KEiNOWNxuEokv4Qvhqc8ZWus
aGRLz4HbJsZgWeXKvsMQeUApiZUMZxqYgnniuMapPy7KggVHrguyzHD1bfSi1FczSUPlmpGNvXMa
8zWeiBCIGOrAcPA5/JRWsYLoOGty3vpdec4r/YLeaK8lsEpqBU/wr/oQKAPFKYVPrLxLgfaSxwE8
GgKJUb4jGpfn84xwawQ9JOrkxMeWCzhgYng9mxRJWbybc4wCuMVeg4++uwG7okcT4dXUOWZwFfj9
hr35zjSeKp3oZtMPDnrmjgsv0YmUCOXa9acnGZLM4FuoEydf26BBCFeGQ1sIl+4UvBxveZ3xxxQO
7OdLtPeD3ayGuONFxQoxb8l+1nPYyO7Eh2yrDSWb+W7Bw9qvrDh7dALEtJqnwaWhhEQ1zPvZw85d
lnq9cPSJ+JpWg/jTW0c2KfHOSuBR2vADE3tOn7UUFa4sy8+u0XAfFUxvwpFdumtNNyWvZEPv7mbL
33MDn0dTe+HrlJ9Oeaw1qEmxwSZUuDkMykQflzaV5EkSBycsLOgLopUkR3pMSSAqk5HiKbGWMR1v
qcfn9ES4/FCG8XuxasTwejeY3DDcp2LZww+uEN+ukpo1oBB2srdQ2loVFcSYAGwopzA499iZRmNz
nvXE2Ws6FUc1aVg96uuKU6AYiVHXyzrdkwPKqK6m0PXc5tK1h203OG+FNmzjNrwkrBcfuwE+NnQP
ltO8TUb5khkj3U3c9Vvgk5vSgVcSN2+xyuWqGoNhY8NdqDmQaeOYHWHYdLTwGl7CwC1vPK8yDxnZ
WmvpDyUfEZMyx4xZCYL2xgricmvF81mZYhP3827nCaCyRvBokgS7ybsaVWXUnYIq2MR5cxmxa5Tu
tBeEoC4Kiddaay0Ato2HV6in8sd6nd2Xc98dOJDvMyt7Q/e/5HjetS6skSjVCSdN9qNn3TDFJY9K
vy2K9gJGwp6R0X3sykNEtZzbOG/TMtglusWK2QV1TWSaVROOaCvr3yiDe69WPpwkQ2bYiQfJjujB
ssPqTuua8ojai/uzLiHEs/hyl0GT4Ga2JLw3Zs7oKLPxssn0l2Zmhe4E3rMTue+RcG84hY/NEJza
PXRyATt6YePOWIYWXCm7L7fExjB+tYa7UWJUMlN+zSZmUjci+NOb4cykN7MCRsRWf7Aj72ksk2Nu
66swlru2yA6d3Z5IxcNP9ZMqGa985u5sk09IGjvFyQLJJbqKapSahheoGPZ3t5rBbU1Ff+2M4noa
ixOqnF3kFC8++HG9Nm+TmMKQq/amESYSAJCSE+Jtw8YDpqw54RAfhBaf2jkTo1pHIGOSc7hoShxC
cR5C/iKmjPO0PfVT8uMLZ76S+kjd1ZoOvTblfpC7j27l3ht6TtBXD6Sdb1k1nmi20dDelBBJL7tR
LEQURSzr42vXHLRzyAvBMjf10ywQ773nvye0RcyKEewTK6KCQ3aAY26CQYLMKQ42oTLb0ItPKxVP
XI4cdbg8HyCvcnNrNK9l1r7KAFIPgdzutoz9K9+Wr3HR3Qaxbp60nXPb+DV/mC9uLRdyVA4yc5Gn
JMPOsFUHLZgWc+EcAbhCkIVbgIQs2lZlA1TALeWKGAlrWwzVvRzDQzrMb41pcgaRozYT7M71wu6m
Q95hVEJAkxUnG5Tw+64BKcaK/OhFxbVdwdTNXe10HhjVZajG0LLiZYfmMhbu3irCzyB/AWwCFMaI
V1yMXlCAx9AXrAGuBpYipUtaYC3RMaQTLtoatqE/HyOXNroJq/oxTexTI2cKr2szzwNP4UyHy9Ey
6bsCsxDtTEFMTURHw5+eHpOa/OSayVzVZT06BTRjVts8xZ6NxkrSEcOkDcwJ7K+VI7yP3pLMXIqe
5g9JgcueCW+Cj18e+28E3RijIfsgzCXsS2YYsvLECXUiY+phaSmC3KR6DYxwetzOy0B4J0WXXwzj
XC202djGfS5I4vOeyqpcBeSSHYxouvFY4qM0H08E1YijKL2i6tBcMJG0wwg3mxOSPV40zITgwssp
l6QfcM5FWnIyQBNYwxB4bRqQ/sP8HNb+VW2nD0lAjKwlGeaHEvuUUZf3dc6pzcGBJJqACoW4va7n
6cWu/eEanxZLtGzYYpvrkduh1gcCjkNseIn79LGOjWOKHWLRyLxcVtG0JgPbRKkzyoVToahzCvdF
6sOyw4TJoTqlp1kllLAPjUzeug/Imy5E1F9WfsQ+pH+fao3HomDNZ9NdRtY2ld7NaIi9GbBMLxHu
1VO4bi12c8gnjkJLDszwadd6i8gBBjSeRVFjpuM6EZNENMmE1iSWa5EbgDomOsluKuHp1yvgFGur
LFlH9CvbjhApRVes82/7oL6UusPb3tqGVrqfoV7JkFDtmHZ7EtdWiiQn5bBiai93ZpPRYrtddpXX
07bNAoQUwifAyxT63qpAVTOOXrs6iKQ2u4k4djVB89rg7Aii7GmSDMgjR1cohHJgDcFa0Ce+m1qg
uOJxjvZx4AYc7Q7rzmg8qxnlLeIqfCWfByh5/EJxvCuomFuN6Umt2fuwGvdaNZ2WkTkh17Jf6hwV
ieHS0v5/37sZX5Bvf6mjvnlOm4iOLG9Zfyow/h/f9FuXZn2iKpLYmQW3CZA0xs+/dWnmJ+zTHoZU
gPymJS1W+38MmfmK4fGvWe7T2/FNf3Rpus6/kHi5GU5bxt8CviEK/LFLozvzHF1iITOYMn+kuX47
ZJ7buBrsmGlo6tgbD0+11RNSLDjAPQX79nBwjVFIuyFufGO+ArZ2ZpX4Sk0FC+8YJBZIHvkf6k0X
CNz+NZI+EOOuaNeUyfeayO4tDQg545Z3r9C9bTJMJ9JIbwzc2GhVEaZZ7grPmuKRIjoyFN7cV6Bz
MqjIX44k6TgKg96EWXZWKTR6xyGzGxUufTKTcyfIXuIRkLpPegkhkMDVxWxdjJPGe7Vj2BtDYC8C
9Cs9MCIyvX3aCgsXdakRDZlIXpmGt9Fgucu0QSADS3SmEFjIom5IVe7eg1Y7um3L5A8WPOXdqTEP
AFChNPWKF4+Rt1iFiiFvKpr8AFa+VXz5Nkp7/hCY810wcvCDobcT/dzNO8rvqX0YANVrAOv5oDHh
ZMVrD8qEwgZslKLbJ/xfrzWA9x4NJ6pUtpG1+9BHAyBScDi8I27qoFyFJnU/V2bk1cQwvczHnaFq
2pkxUWc9VYCPFpUDq5Jz2pAaEI5WP9SKz2/Pt8Cw1eoOhNOsGP5tUoplkLWnGhiPZd/hQu8/oP+1
Ndy7SZ2Sz9D5N61dAoGLMbnSy1c6QlfihbYjeeZ1YdyElD9rk6N27aHFdSNYbm7bY+Xwn2PK+8XU
WiuJUbq2ios+5Op3tn1Sdo6xDoN6V8+S4Nu09ldYttJNW8XFMhgL+Z4FvliKxtAAp/TybtZIm2Vy
OLKl0NU+PepWU6pfxqKCr9HhBi/j8aZznWutLh+HFqGg0NqzIkpOeLjY7GlFhOTUygD0GSF/DiNB
4PuTc4hcUtU9+osoa/a1V54hOzuL6+59ruyjkTqreLL2ifGgNeYzf8MdaHw44xp78M6xi0utkCXv
Lym0xeh02me2w/CMkBq7ebNx45ngGV6NUptfZRkFJ3pjiHPbb8brwrHfx7Fc2y7W38J8GAQM6LYy
sstc08br3kObj25nhzdm74X5FYuSdWcWGzbjkoyD/iSjBt3O7Gde4zLBMxfJyRangz+j6PK88tB3
+lA+aAQgEvh1MFtkArIEOWuytfUZXvjBgC1gbBN7n2h0cAFYZXDKGcHmMdFCte69lkAJQ8KFdVIO
Rxcz1RRg5cd3N5/lA4RDW1u7bDbdwRtPelIN1+2MSiKru2zrRw2b+Aa2rT0hdI8xoT01+vjUWvHe
YXJZZ9MbIhpWIGDYVglKmE0doiOYI6QSC1M3nr02Kjd9Em3afsLcPjWn+cCEAaTWmuYbSBaK2UWK
5t7RMMHCmjkkg10tyzC46lB27z0jE59NZNNnnlHrKt+L1lUPamkudS8Xu5DlGSqWZsY15fXeqVPb
tEIutAg7mJ9ivaC9qeKD2/GQOxm0qyh0TrHeEvleYeP0nGgP+GaVYfPMddqlztILHtV0HyI1RJeQ
6mTbI75AuegfSlf/nA6SLTAcWsdiLDy12yC0/BOaUG1nSzpjEDFXsgnfBzEdohS6SmYBavbPat87
B2voLgaLX2BiJhXU3l1pVzk1W+2gmE4H6u98fLaT7NznQQ1n97qw3BtmyeckKj/omFAkfCeGLcr3
VTE7we5M9+c9ypQq12j7fCMspvZhRCLLxCCPjTqDjEl/1EwyXFvXPTFyeSasjhze+QK/HEpMW0Cm
Kg9aZb+Ew/SIln9j9d0Nt8MruYd3QTYtE+rxTtaPhFXjgoijG9uvL7q2TVcyoGudbSJmC5PRS03K
04qWdG/2OAK60FpyTl6iC36DS/1mCfBYpBvA6C47cEZE7YZu9tSp7N0c6f1ahOTxNiqZd1QZvZFK
6+318X5W+b2GSvL1KiTUJeG+Ws8bQ3eQu3MtUXEMzZGFKvIWe7gp85JkbBUSnE7FtlOxwT6lbeKP
j8CTYHoQLMychqNQr+3VmDU03h8BxOxBt7iFyEckndhD5RqTVpyo2GLeIi4jFRVmnEsiTeCI0Z4b
Mdof5zKyZ9hpZCDrSWwt52ocdx3nV1/58J8J2LBV1Mb/lcpt+16cP2fvzX9X4/zXArlcFITtf3z/
j0zzf5v2r57b5+/+Yf1RIl117/V0fG+6lG/9shdQ/+W/+sXfCq2bqXz/H//t+S2DpRo1bR29tn+u
wf6aB3D3TEP7Xj//4+/7KhBAe2sKXP66VNURG/qvEkv0kzqJAZR0Kk3pmwm7CxpAoLHElm/JL9/0
R+1mMcLxmIgL3aTy+1uGN+fPtZsJFZhkxg+WAFpPFgDfTtjZPxU+41sXOkxIEzXo2t5ymF3zq1cA
8sJjXFgD8/EWI8x0FHFyYnkt+2pnpN1jO0Dgy3QFpYB3vpadMlgkDU4fqPcEExMr905YbHcwSKYl
Jq9ni10Eg/deJ5PQClZhI+8YYu+MJr8MJgRKLOB2uhe/zi7vshlMn2F1Mx2fOKvbrsGuVKt1J9Yo
X2O+YsMqcMMgWlgB9PA2DM+GrAePX9X6Ji+mYZeB4dogWCWfBpIySzfDPXUGp9+Q6l0tEyeZbwco
ZosqciW5IvjRewhimmucUzGehNO4d2i/nRHZTTX2lHRGS350vfVo1XVvcncpWoFFTBvfIyypaett
SeBsS6Pf0/D3Hk9kGzPl7JugW5uiA3uQWjBr8vxIIhVzA7NsFd2QYcKsxgqTGjDUA6enWxjbMKLn
TZhCkFpeP6LqVoMJ88hcAK14Ma/xam0rNcQYmWa4IrlqQY1azNK3Rm8jxStPURMRwarGICbzEEyZ
e8boiLgZIKVMTHqmMiwDGKIUWr1zmarEQ37syClZEJq7r9XgpSPmaeF1nHN6ZVzpajwDEW6ZZHLA
I88EYR6T8pLqTIJ1Zr5TjXa0hUi5LXjTjqkx490YzEve+rTsnXeLCm6nUUSsoiBGi+VnSJ2Gc7V7
T2vmi1imqjU/EUU6CU5SQHTPMKpJSDO1l903enrrBNZDrgWfo0hDLtfsxOw86V5z6TOY38WTcUk7
fAn74CJN+tdumI2TEMLjItMVTKdzjx6A9az0nl3GswJyGhuWOENOEr0jzXrrCrnVLLjHjG/XEfUP
Fkj0wQllKnNqF9I08PSxv+9nJrJkU2qUbFjLomo+kXp0HgjK/1wjcWxG5xtPl5kT3Kayv9cnl51T
DlkAgSeZEAOxZcFnicdhmVrGY5kQppMw7Rr7DKK6nr5aUtqIB8Utr3570ZfRe+VPr16sneWF9QDn
sAAdMYlFHTBq0cydEetnqdV4nw0mY202d/yU+tZ3RBmwlC3eRO9fzdy1a7P0i5XItZrFjOQu6l2w
lpXvPvttROKw5960hf0YGEArg4jPXTO1dpWoSSHZYvWeyG2gCVpwzSCvPHdAnW4MnQBvzR+eLOCH
7wys7zNzfMlFd5H11TXok4F4Dot4ai5U1mPbEZXX8WwV1EalrOB/FvapLlBkBrp/22WeS3WrNEKB
fSNycyN0/yyfk5chrrU1HlcXPFB8DeLibvRHjUIrJ7oZNqAv2u7QesywGsN46afqgS+FOy3OxDJq
alItCiIcrBAyXows/Ly3enuFuAvpaTbc4jKuCa8c3+w5uZ+mlGgf3zhxXO26tAf4PJ4ajsY3TSou
C5tTo6gTQIzGjlnNpayq06iSy9x1wVU3myztLpwWDK8Z7DVjWpqIAieePLDpZ3qoYSnijES0eQpC
6ejXztKrjsJQ9jq57kVx8JKCb8jkvhTO1qjT0xrP3hiYZ1No1uvaCol10Rj0DJV+iwoTbhV3guzI
UBA90E4r1jdBCX/JSI490h6IhXCJavwzSdzdy6Bcl35K9qmdM7rUzJYCPj4pGbmqGHZ+WdTKqXad
MLlfRXzkHtoTFrVwUUISLgPGhSgOEoqnoT2IZgTNYjfjxjAildIEkXFCJRKuhsAkRHQKCOZmOMbt
fyrLinASrdVJnQMNb3p49YpY24zeuLXMaOfEGs16IiAimyObqBkfDSr3J6u17nWHkL9a5xxNM2TA
hlsmb4THkyMLqSnsjeJU1PWFn8Cumir+2ByeJQfdRS9P2XysBYkkIK20SImVud/L2TpJtfLE7W/y
1PZOKcBgrkEvaXlk+gvHcgtMTPh8sKTzBnIY84+tnW1IyWX3LNtzf6Z6n+rBOqP5GRmUDaSZVRnJ
GSb+gCnG1ZlmRbmFkxjitUEkI030Z1lnAYTySQ5TAlq7r17DbNrB5UephEQ5zmr+R93iJRPqX9lY
lnH3mUvCQA0wCiqZkDfvnBBkDImyOnQZJbhtOYdwTjl4OravDZYAbKfWcFEK/YrWBfH2DIy5sMqV
iU9qWTbxMY29pyYcNnEYv/iFvm0a5yJBnrrUYWFkxBHTYhAWOxT5Ier51LoaKHCYNpixDes60Kbk
tauKk3CUavBe2MdCR05bSUdeAswwpm0v5vTWbIfqQQt5x9lxfTvVcQnrzovlSf8xTs8JTps+EKZw
MffZ5Fyh2+l3QLL4O6xsw0L3MABAHZ3qxVP+83LYOUDqQ0CpqO7OIj6HEoCqlpEyEwk6MZSDth+x
L5vkia5XR4YgjyMQVlrg89S1UWIl+0xRWj1wrSwByCjFVO+Y07G3sJIAdmXDNy1bQlDXU1hOixj8
K/lmVD0BFjlb6WhAxPInsi0FGsurhmdGvEv8sEung0uGLcGD8rNIhH2ZpDMcneaoWeNZMel7HzAt
kgqmBXCmNbhEo2LX5kBsxx5U+OCEjy5422jGVcbXxdIAfRtP2TtRiebCqaHixjmfvteQIc+uwYCb
ywN7wgC9XjFpyneV04E9c4mV7RRx11fs3QGM0wyMlxakYIEJn9dXpF7xweyN44OuKL5NVjRbU5F9
Jw2xH6s+CyGzvALPNy4RQlMkmfZdnVtnA4jg0ooPBchgs9bPgUS2DJyT7YRAY2MpvrA9Oe4Stay5
1TSOI51mEzYKRGJ3Gp9NxShGDnZolR6+V/ziTpGMDZ0htWZO0AItUpcDoyR2xYsv9TS8zxT/uDO6
K9wxzaKdOn3R5T3rCHyNjd8fU8VPLhKoedy5aDFhK9cF7reeU2dTKfJyP7fphg8nXuqZMbMYJWeZ
mE1gzRHY5ljxm5mLZysLpPMU0G6BeBZGgcEe53OfTK+dgfE5Hl5a9BKECL9WMYSdXvGiYbRooAx7
0iBjKhKg0lUVkTlO+dp1vCPaLC/XTWW6m8CdlP68CW80q7ntFam6VMxqD3i15bFJBWZtx/r9EMUv
+OR2UwbtukGvW5NvwerV5sWRZuS09LxIS7tmcK+I2X42vgUgtC3g7iZCdglae1aM7VHRttHJVQsd
RanRkXGuiNxNm0GmUZTuKZiqi7iM7cOIJXiNgo+7ECHicuBdlkS8HRzTgI1oM5lCuZrzSqp3dtm8
92PwUHnuux+I8raJWHjoUfqSY1tlhjevqRm9VWIQaiyS5rY1HBi20wH2grGkPc6WOJ8TVXjE50wY
HvoWNKFnKMi4K1eGV2LZ0A3A0dolApltltHUk7ZJkcKa84yyUZVb+WtfjQc/cqHPVPhoaeY3XKq9
LoyXRNrofLCJCx9VozkTYNoGzrBOi/xl0sfLv9/8/pvl5X0F4pmEt/xzydndc/2c/K//+a8x8dSP
+qo6o+X14MGy0viA4n3tiSUBe+Bg2Wew2kVGRrf8+z5DfnIMm6ki/arjSdehXf69JwaXZwmdVQau
RAfYnv13RPN/DrCxGOC5Ns06CfLsTgwgt9/2xIHWGbhlgMBoPvwtPRzOOiGwjA/N6VTO10VBgZl5
IM4DcK5xK3Wwkf4NS5hpUTZIDGT4FoTBk4gYLjsjsmqHwZ5OiEOP0Dpmll0zesUdQGgcdsFofmmA
jOpteK5CQ6MxcpdeC5KjzOuDWdlbfyoP6LrvMB8qrCRneZ9gXcIsn2U+oif3JgiKYjlV/apEhgak
ubfpuiqicUaYfn28bBr7SqThozU78hSQK3vR/BJKwyaLi3VuU7jY9jLBs180M4Jj/xkg2ErGJKfS
Okcdg8C+QcrQuIchDA5WBP3ChGS/LB21B0HNdLAGctHNbobNGR7BPmBfjh+zkEmBCfcDNsimFITK
EORJFgH6Z3jjzYgQqIGQNgCsLaG4DvD/eOP5Sw1bntCjlVFRA1Zoa5HQVSE6DbtG3MTlNpIUyg1B
NTENMtLzq8DJ7szWWHbuq9DYYkCO3lh2cAv/Otob7hVmcyQKnJegVrZpo6FRZkm/RHK/lUF/nB19
MzamiwrA2Y+1EsI66AgSVyZ7MXXuslFdZN4m9+oWXZIjTT/A8Hspy+nMrqd0LT0tvM065Etep/Xb
MbPzp9Q2mzcCf7u3vI4/O8D12NaSGk8pXpMv43evlSYwjlUOQvQ6X3v1W+4kz8ybT1zNv9fNCIdc
egX5/nRq9JPMplHyEdu12aXGES17RIxTFaPSzh9mhntMUNbdFDfnBUkJCyM0LuyI4Dyc+Fs5ALyY
6ZXjGP65DWIGaN50JSPnTKZVu7IQKG+Lpt22ZDTt0KCoEuu68e173Q+vpMWn7NRInuJp+ffPzn8z
uS5uH+Z2gs0qB5yuu7bNTO0vzlD2vk0Zpc0/1e3+wx/420lqktXOMpHzEh8RQc5fD1LjE3pZtLnC
ZDHsEn7zx0HqfJJofVn+umh/f6RpsQT9Kt7V5d9bDOs/uo/+wYX49iAdMptptUVFZsnRksSCOhAc
YYGzDU5HsgTb5sZr7JhufE6YANKO3pgzrcVCYzh6q9vsPUgENnap6+vbSY9VnIVtEbzlOsz63eTK
yvKR6JOsPo3D8Y5WyF8gm+sYhmm3Y5go5GWCWwcrMuajfE3BwXk+s80MgupyKivcinb8zvmibfXI
m9kidzGbJ2Yygdue5pRzglOy6xHzeQhSEXQwlCvppeh9YC7wpTQ6gmcC4xIVl+kQI8zK3Isa7iHJ
FdCjO8yWXWu8s1nGUhCuLBfnT8WKKBUAH3AbPZJfTVCVhlK3apJwU5WyWKYFDWDRebQWfnzhm/Vm
QsCjzeZp7eLaLfpm32Qa0WlJBLSBDGc8mhGoIGBATPv60zJjflO50bo2xdEbRLo0MqrvHHPtGtkx
TobuM03NamjSY4+D3deHpyKq2OORwA4LJ3u024qdhaqwY/YjZtE9JpKBX5iZ22mAaJU0wbPtlrtg
APzFsBQlUr4fonpXVqxceCxeU5MtDNu3kwYY4SJEOowuq6FriC4da/ocatZVnvndUm+o802LCTTD
1KMwC4YDHuOkKbRu6DfJn7Yg3DCXvhCjMb9OJRZp4q4NOvrh2jf4pQJJj5ZWdbZqNMH4mWErfDXw
IgGwyoXdJndJKHPSyfO9l8h1wHavd6L1bOh3Xjnnq8zWWpIcJ+Ranr+AP7iv2CmVDoo0t0C26Hh7
jtlnV8rX2hxuTDZSraY/1poERFMeLF9uGrW6wlt6NZrpCiPoOcjm/RyTEaShInBZUE8k2iwCtQij
WQe35SJpdtSaLGRf1k/ouyO1QiPjjWYqItaR7ZpnmQ+8fs5Ltm6G7RP/iq6abVwm5+dWredqh/cB
3nR2diHbuyHGlj6yz8v72EWbp9ZK2lnExi9m8xcU42FKkneDjWBQ8ArM1ZIwVOvCiUxrl/3hNIlV
phaKFZvFMCn9QyhTZjhq7RipBWTXZ/terSSdAZ1sypZSwFDw2Vr2an1phw3Yswr8kVptemrJGbHt
TNTa0x6NJ833X7xJO+V1czIkYj3awDubArcUO1IqCijvOVmdapFqfOxUM7VeLcsY0yDNz3hWQrH4
TOx1BFY+uErVarbXjIOrlrUjHnFNrW9tixt0sp11pla7hG+cwltl2cvWN/SLcoPb4DkPJBvh3iWt
PVZr4iHQ51WjVscNO2SXXXKYpvuW3XKilsxCrZs9tXjW1Ao6/1hGlximpYwPzKVRv/bF2lMra7eo
NjSE65o1/KyW2hNq+43RQqNze6CqbL69xuV6BW8ww85MOZ9nbMgN1P0pG/NWNPZe+9iia+zTUdTe
6bKRJvFNZUzLmntTsg1RYZLNzOo7ZkzTuN46Am55V84GMD1/0MjlouKx772s0D93kMrQrGoOmexV
lbNpDgHi2ZiilnZRrEBsPEYsr9h/hj6vfsgOoWlfyzyDWJBvsAQU8GGTNYOipT5gCQVdKPZZXybb
0ZqLE2yF887waOWxyz8kZiQAierOFj7DYyp85iUBKv9YqyWh682dFjCEmBVvNgjJQPfFdGrN7oWH
AQv+PWGpMxDFKPIS4kFYnSeO+woyokMDE9+3uhYx5na2M+mOe5bXPjLYBBekeUYQJSIiue9D8sJS
/OXpmsIrIvsVtedl7dTJWWMFfFYOvKgsCShBxeSuc68IjkaNgSSh911FJLEQjUvl3xVQeCGnyZNB
+uLSnAfrqR+S/CZDBcIWuRnuGQYN20aroRWHZnfU7QYwgDUwB8FAiFLZxF1CqCS5KsIvnhsx35eF
wx64z3BY2Shiu6Pd3tASgxJIjgSx8CC56bNIgmOLKqkwtIcgj/G41N5W1qH+/07l9c16909L2y9e
LqxeaqV7WUR5e0MLopRx36x9/6X/6Nvd8J9/0Hdb4Feksa3aKQdRkX+3zbV/7H8/ftLHr/JXPyF9
5jfu3lgwC9ilwkYFSIcqCWRVC1jGDMFvXzbtT+x/dYoxqjfnS51GrfjNFfrzr/7n1ff/2X/z3R/w
nyzCXbrt72rYf3Idfvgx310HSBM4ybAOkx1Dbfr9dbA+6SZGeMBCLKMpmVEr/orXQVLi/vR1cBhw
gKCx0WAyBPn+OtifDBN7MzoURiCIA7hMv+J1cJiJ/Ox1ENzxTH88A2Xrh/Pw2+dCkBlkSINUIISq
v+Jz8XVE5v0o7v3bj4b4BD6C7BxEuVIFJHHvf3sp5CcgWA5tHnQ9MhrVHfMr3hK//V5/CHL+9nVQ
5lHWiAzf8DgpRcqP10F4HrcEl4lu6+Mk/SWvw08flc4n2NgMH+0/omy/vR+4TMLS4VQjBP+NHvJr
XYffHw1+wZ89JfhbDZNJLIknUDRU2sl3j4bNlEPqRJ2bElAdUvZf7dH4/VKQ2fKzl4LRuGQwjljr
64n47V0hPqkgGcWTQR9mMXf61S7FF1eD89PXwfkEysbAnI5mArP5j6cEYXNo0zgxqSLwjKsv/1pP
x5fr8F9xP0APsk0M+oC0PoSAPz4ajnQoOv84TH/J6/Dlkf2Jt4YKWKJi0oXHy+PPBbb5iZuBA9PT
dYPQAbVR+hWvg/zpgoqjksmty/aMv5ej94e3p+ClokSoJE3JX/g6OPRHfD4/dT8ITltm3/ii1HSb
D/zbc9IhSwKxJxGWqrrmFftr3g/qTfdz14EXgqdjLUBFzFmJ2ev768DO1DZ4MLgUHJUfeZ2/1nPx
x6vzyxH+c7eECW5NsCeBrsZW5PtLwa5E8U8Yp3r4OT9MdL/opbD/C05L738zdy45bhtBGL5LDkCQ
4lOLGPBjEYzHsDEOsqcsYsyIYxtSaMCzcja5gI+RfU6g3CtfNR8ixbZMpbjopS1NN1nqrsdff1XR
cRsxmES5xaHCsAZ4VCm8c05No5XcgyMaeEB3JCTy9H067SVTbUnFZYgiJXkmzkTqrBwWgCMyKg1g
PMDIiKH/n8FTgbdGmxKgS3Fn0+vZ0auRLqElUAMpsSfThsCizkQResQXobTCJi/aaGeX7kWCL0wF
m9qNSPjF11QbRyk8GnzsM7MRerDNozTkg4QaFDLETrpT6QKKklxSxPVPiLWFVDS2GcToND/3wa0C
SJjmY1cvhjrignlF+/ksXeMxibPAGRt6VJG3WqMi0JYgeg2i6agoJmy2qyEqgg1IaxTVx8CTDRY3
FIXEImHmE3hhZFe06HTzdshwdn4infkEjKBEt1eHQzEEnk+9OfkMKt+Mn+GmGPQmAyoNJEUCLnGY
CK3OlETkSQnfKqOFnuM+tqh57YlAS5LeYUpDFImNHCsJ0CvpEYGvkRKtr+Vjt5REA8skC9wMgOuA
AYeglmKRMUTDq5F4iAcQmzCc2Mt87JYc+rArWSASlzyXT4jZ+I5nkXjoSSQSEGfAmnQ4El8i1gjw
GUkCU2t6DmGDV6JCSO6AZgYMnXTVoVrgYgivO05bWEaAl+HFIBEOBxoPmzDD7YshrVC1ujJFDDGu
AlYSSO7MoQo9/Cnoo37mh+JGOKorpdm8Vg4CywBPgTiQ8pfus8Mjgd8ZAfLTWL/hqTb7ORR09boy
WsB8ArwQdYJiZxCH4zOzkXormjiS9pPpSlQDOofL9KIIFxBFBkMCJ9qmLsn4xZSOJODcNMIiAHXN
jzgJQn095Edfi/lcoyIaDsTwekRevIqbnIbB8Rz1I2RYhk5NkNkAyacDPt4CQ2vP1WUEw8pn/jPE
CYJ1047aUVFMGnhfHX8CO5DgBaej+wcIleBQwyORIKmIfiFAEhQw0b7btdvRJj/VOgKviRlzCbFE
OyllLIeVhwsBlSwiGkFVtBbbIcvRRhtqlCqlKC6VBCe5/3AFMWAsB2EWxTAkwAZTCTfcPA764BMx
oBiIIghALaQ6yGS4EZhNksAkgl0FLbPmuipgGVEPIA7ChJnohsAj20ETcB/0ysjBtcNgrXPSWg4i
cIGzCbsIRcVbGKrLwMsSDg3kIX9FQjhuYpxZamLGl3qW8vP3ZbU1JOayONhozN/7QgfRTT9vubum
Wygc5dEXpbNVs3dhiNPy7ycjYq7hFw8+7PjGZp/2z9sXnG492qt7q+4/f5F+WPt377+YD760jylN
v37+6fh1O2tAqaGNnZ5u0qSrPxKXNnuR1/c5TXGqw5DP3TtnQtrUbsGsyE357195t5L8GP0G0gRV
u8HN8dsu31ysDTztB8qv3q+okNmM+WcCnGo3O/5T7OZttsCb3R7//jyvSl1skfbVXh3/3NefZgxi
EYhNu9nrKi/nDH0RH0i7193x22Oxm7ObBMTq3a4aaNyruv+nL97mVX65DLe/ahLhat/tbV5Xu31+
+GPGvGZpGaje76rRhlpZXjeJSLnb9U0o1BtWu5HSPznz2p/prry3rbzAAXha0Z/2Q9GdpFObcZm5
pH3sHzTCVMr7eXEoR1a8lTfesvbBX+Xbjx9sEscT1K7NxKQN47i6hQYSX8B6Psurz+V0aWFXa5/7
tt4+WkQixEzt0neFMR/dQieRSMmLdvGXqNMKj6JbabA6YbZ29Tf7oqxsEl/gbtp91eaUS7pI++xP
Gfq1z+tdZTmMgiRr1399v7etvMAdui0fNvmjTeyL3KH6YFPkQs3XiuTFx01hE7dAMNq1cVW2tUUh
Zgsc85f0qbXaIOHNax/813pXP9gefIEzfmmIhtL+/MZ7G9ewk8BJswhio5XKbVl8yn+3qC1h6WgX
v6n3D3i23ULmyU9MQe3qvWSu7F2j/EFumjh1+FICeCUxeRJTAQX/X4iQl1/PBnD0lddT2KOrurb9
2RjTkW+8q4p8/+Q/AAAA//8=</cx:binary>
              </cx:geoCache>
            </cx:geography>
          </cx:layoutPr>
        </cx:series>
      </cx:plotAreaRegion>
    </cx:plotArea>
    <cx:legend pos="r" align="min" overlay="0">
      <cx:txPr>
        <a:bodyPr spcFirstLastPara="1" vertOverflow="ellipsis" horzOverflow="overflow" wrap="square" lIns="0" tIns="0" rIns="0" bIns="0" anchor="ctr" anchorCtr="1"/>
        <a:lstStyle/>
        <a:p>
          <a:pPr algn="ctr" rtl="0">
            <a:defRPr sz="1100"/>
          </a:pPr>
          <a:endParaRPr lang="en-US" sz="1100" b="0" i="0" u="none" strike="noStrike" baseline="0">
            <a:solidFill>
              <a:sysClr val="windowText" lastClr="000000">
                <a:lumMod val="65000"/>
                <a:lumOff val="35000"/>
              </a:sysClr>
            </a:solidFill>
            <a:latin typeface="Calibri" panose="020F0502020204030204"/>
          </a:endParaRPr>
        </a:p>
      </cx:txPr>
    </cx:legend>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olorStr">
        <cx:f>_xlchart.v5.11</cx:f>
        <cx:nf>_xlchart.v5.10</cx:nf>
      </cx:strDim>
      <cx:strDim type="cat">
        <cx:f>_xlchart.v5.9</cx:f>
        <cx:nf>_xlchart.v5.8</cx:nf>
      </cx:strDim>
    </cx:data>
  </cx:chartData>
  <cx:chart>
    <cx:plotArea>
      <cx:plotAreaRegion>
        <cx:series layoutId="regionMap" uniqueId="{EDBF0425-BB13-4354-903F-3DBA29F7371C}">
          <cx:tx>
            <cx:txData>
              <cx:f>_xlchart.v5.10</cx:f>
              <cx:v>AAR</cx:v>
            </cx:txData>
          </cx:tx>
          <cx:spPr>
            <a:solidFill>
              <a:schemeClr val="accent4">
                <a:lumMod val="75000"/>
              </a:schemeClr>
            </a:solidFill>
          </cx:spPr>
          <cx:dataPt idx="6">
            <cx:spPr>
              <a:solidFill>
                <a:srgbClr val="FFC000">
                  <a:lumMod val="75000"/>
                </a:srgbClr>
              </a:solidFill>
            </cx:spPr>
          </cx:dataPt>
          <cx:dataPt idx="10">
            <cx:spPr>
              <a:solidFill>
                <a:srgbClr val="FFC000">
                  <a:lumMod val="75000"/>
                </a:srgbClr>
              </a:solidFill>
            </cx:spPr>
          </cx:dataPt>
          <cx:dataPt idx="12">
            <cx:spPr>
              <a:solidFill>
                <a:srgbClr val="FFC000">
                  <a:lumMod val="75000"/>
                </a:srgbClr>
              </a:solidFill>
            </cx:spPr>
          </cx:dataPt>
          <cx:dataId val="0"/>
          <cx:layoutPr>
            <cx:regionLabelLayout val="none"/>
            <cx:geography cultureLanguage="en-US" cultureRegion="LV" attribution="Powered by Bing">
              <cx:geoCache provider="{E9337A44-BEBE-4D9F-B70C-5C5E7DAFC167}">
                <cx:binary>7H3LctxIku2vlGl9wYoXEBFtU23WASCTZCbfpChqA0uRFBB4PwLP1fTm/sB8wV33/q7G7kr9X9eT
ZIpkiqoplYY2NrQxKysZAQQykAfufvy4R+S/XA9/uU5vV/UvQ5bmzV+uh9/eRcaUf/n11+Y6us1W
zU6mr+uiKT6bnesi+7X4/Flf3/56U696nYe/EoTZr9fRqja3w7u//gvcLbwtlsX1yugiP2lv6/H0
tmlT0/zOuRdP/XJdtLlZDw/hTr+9W65Mp1fvflndZDr3dGNqfW3wb+8WbXrz5R/hqvklL7rVTfPu
l9vcaDOej+Xtb++eXf3ul1+3P+qbaf2SwsxNewNjbWdHCNumhHKJbUQlfvdLWuThw2mCd6SNhSOl
w2z4H5Kbjz5cZTB8PTEdwoy/P5+72axuburbpoEHu/v3ycBnk39y/DvfjG4K9/47c4v1/Jfv7x74
1+eY/PVftg7AV7B15Als29/Xf3Tqj6J2uobs976aH4ZKci4kdxhDjEgHsHgKFdvBhAgkmO0wgoQU
m4++h+r0T+F0P2oLpPuDbwAhtUq79j/fpvgOsglYEycOxYLaW0DxHSooY9K2GWP07vS9+dwDtZ6U
3mD3koW/bFEPw7agejj6BrD6m56SetUm6e2reEGbSI4dJjH4OoK3ELN3KMMO5rZgYGI2djbw3CP2
OLXN8T8O29OxW9g9PfUWAEz/+Y+kyV8DPr7DMCaMMio4QRzR556R72CbIsoIRgSBWW55xr+l7Xpe
fwK7zcBt4DbH3wBqatU2yesQD8Y5I4JRh3AJ1vccM7ZDucOp7QCiti3WPvS5k1xPa3Psj5vb/eNs
Mazf3m0OvwHA/taG//w/N6s2XHWvAZu9IxkwDIwQc6hwOHkOm7MDcY1jKZF0HH7HUZ7C5t3Nq9Tp
71LYlwPc07FbBvf01BuA0Cs+3b5WmFtHOIQQdRzwhlthju5gyiHEYb7mJ5yAST4D725am2N/3Obu
H+cbm9scfgOAffnXm9U//9+rMEmIa9gm6C73otx+bm3gJKmDmMDEIQ9x7ylg99PSvxy0ub7W5SqF
lPHH4Xv5LlsW+PJFbwDaMx1CjvsanhRYCeFAKRFxMKGIfRMABVAVDl6UUIcSAYn5U2wf5vWT2L58
ly1sX77oLWC7alPIKRrzKpYLWQSyBURCxu9ThufJuk1szBwG/Gdt1c+g3UzrZy337Hs32gb4e9e9
AYzdL//WvAq8WILWYkO4lOChtyOpDQmJEAI4EnHuQH6OsHvb6D/BgB6GbaH3cPQNYPWUxt0bxEsk
4wdVM3tHSEQFczgDQYY4kLs/NURnx2YYpE8hKegxjtjKDf/YlP4rCetz5fOptPs/VP1Rmn8tjXfZ
3kyvQQ7gtcTADASxJZAEYOPP31q+I0BZlFTeCb0gezz3L3ez2hx6yYZefmEfhm35l4ejb8G/6Nu8
0zdJW0+32WvoUIAaERzZNiS+hAoCsDz1NXgH6iug91IiyZrUgUz1NO7P6+KT/uf//hOqxuPILewe
T7wB+E6L8nWyLGdHCogMErCDSP5ClgVEHEOaxaljQwjZSovvp/WzXO3lu2zB+fJFbwDaeZt+un0l
aRgLzAh4y6864lOTBIuF1BpzkLOoZDbdyrIe5rWx0z/uSr8O3ELw6/E3ANp7cF7NWst7jQoaBaVe
QubEbSh42lukDe8IBzMBqgciEAPtrfD3OLGfUz6+d58tTL932RuA+Mv/vU1eR0d2doDWQLlGQqV6
zby/UT+IhLYDECOhMHdf634aKh/m9ZPqx8t32UL35YveALb7t+kr1QjWThWUZHC4giIot4FTfepz
6Q5U6KgjMUMO2dI+Hib1k8C+fJctYF++6A0Ae7ZKb9pXcMrODgiVAoFfhoh6Hyufwkp2oKcBCq0S
QbvUWtjaRM37Ivn9rDbH/ngk3YzbQm9z+A3gtf/l35LVp9cJpM4OdQQQHArV74fOhaeYgTgiBCSY
yIaWFLDVrUD6ZGY/F0m/e6MtVL973RuA+fTLv023ye/3GfygtrVWCcCHIow58Nut4hC0GVG51p+h
CQkjakOl9mkIPb39D2fzskrwdeAWdl+PvwGsDr78vW7L15EI1h1868LAfT/llrBDd9aZKIY8kwPB
/UbYeZjXT4bHl++yBefLF70BbPf/+Y86W6W/K7P8sB0CmgwaMzmCf77RmOmOA00TnMIJB2Hb2bLE
/fY/nM/Llvh14BZ0X4+/AbQW9Ze/N+lr5SCIQOYhQIpDdC39POep0FVGmURQx8P4oVviqQNdQOVw
PbGNW/3jlOZx5BZwjyfeAHJLfVt++Xv8u9/PD9sZ9INBxviYOzwlM3gHMZtJaJGGtrJ7OJ/itZ7P
6ven87KZfR24hdbX428CrOzT64irfMcBGgJl0rV+CgXRLSNjO1CY40TQl+tvSw3zmvSP29jXgd+A
9nDDNwDa+1Wa6VtwQ68hwEHbCeRxUGayX1hrAA3RzrpVDOQbWDMCFHQD0H2ut5nY5ugfd42PI7dw
ezzxBoBbfvlH9+Xv+Sv0JUC+xzFghhBhbC2wPA9pcBocJPQtQI8mAU+61cj+MK+frWV85zZbiH7n
qjcA7ybTewW7hIwP+tsRqOJCcEfa33S6E0zhKIKiB/hcvl2qekhBfzJ/2Dzf1m228P3OVW8A34PV
TZG/hteFxXignGLJoOVTQAVkC11nB4wailXQVQQNK3ennxKc+2n9uM/djNvCb3P4DQB2FMLqw//8
IAk1DNDWbDDGux6NdRfGUz7KdsDVAkoUKowvwLWe1I+DdT9qC6r7g28BqHSlX6UMvC432bCUlQrI
EKAvb6vcRKEDAIB0kECU3DeJPbWso7tpbbm7+wv+OLV58SbbQL70QW8A1/NV+jpdmBTYqQNcBhY0
YGiSfm6AZAfMznYoAzbkAOfZqjWtJ/UnMouHYVvIPRx9A1gd17f6y7+/CjddN0dBFyb00rBvF1mC
iQKWsOoLShUPLW9PbXA9rfRPwLUZt4XX5vAbAAxSo1dZocd3OHANqOlBiYgSqB89t651e6kNy09g
hTNf05FNLPuaAv6Z9Xl3z/LNUqGHo28Aq/M2abPVa1CRNRiQ+EGvqFgvF3mOFd0BIsIFAmcIHhOM
7zlYd7P6Ew3pm3FbtrU5/AbwgjLz6pV6nIDsw3YOiAOh/7Z4Byu7bAxLKGGFgcTrmsFzwB6n9XN1
2e/dZwvQ7132FgDOdGpeq/WQQV0d9DF7veYcr1tdnqYHDqz/YjZ0JjqwCBrz9QLop/Hu7GFiP8k6
v3ObbYBf/rA3gO/7Vb1Kvvz7a6ltDpFSQqMT7A9xv9r5OcJAStcWzqGoS+66GJ8i/Di1nxXcvn+n
LZy/f+FbgBq+3DtfvTGkl3KzH6w4QQ0QQX1ivafENwaMd2AltUCw1J2TOx1887kPDOiPTOflitPX
jtJvmdDjTf8bInb/9t/D8mz6f2LXKptB24sNG0S80IoGygvhCKIngn0lvt2vZbPN1ven8zIsm3HP
pv64a9fr7E31/X2rvu7r5a3Myr/bEOzJ1lW/f/buAWEXs62hDxHoRcO5/7b2bn57Z3HoK4LuXUyB
lnzdbmx9q+cR7Ct3eomkfHOjW1iI+9s7wqCniYNIA6tj131p65a0/vbhDKyoFTbo2tBlActrQB3N
i9pEd7uYScJg/x4JZUYIp+tdzJqifTgFSipBsIzaAUteb+2zefbjIh3DIv/6RT38/UveZseFBl8C
s6Ho3S/l/XXrCa/dAF9vBQTToDasz1p3VZXXq1PYJg4ux//LFuWUJHqkHmhMrWomXKqpr7SXxl01
11FC3nPbWo5NRU5sJ+j8LpqImir7tJim/IqUvTmtgkpFcVW5WdxetFN9kPbBrkiyhR1HR8Qarhqn
uBlZGKqwRIcJDT9YibXMC+TmhTXTuV52muyakh0SgzM3H4VroW4PoVJJduPgYQ+Z+owxUbiNPS2H
oZhNRiwFfHQrmz3ehnOSW24Vkt0yHhUpHTcKOGxH98kOGjXq/TopfVQFKibLygm8aUwTJct4bo/y
tHf6mRjDkyE9q+NIdT3e58M4H6drkefLtA/3+xJfTHl9bppQsfqgIdNVmwk/KpcJOrTNTV6uUIrd
drqkEfOs1FISd8ekTZAKMJ/8nvZXLQtdEsnBdUwyzfOx9PoIL0Bj2jU2dwW9KvC5jQ+bhHkh7ZZB
go/SotDe1BEP9XzmjMadZOKzolBhqy9zylVaJYoPsWqRo5xI7spSqqLifpKyhdYcHqVVCZeKiFQZ
4rjdyI8zekD70AsDtOjDYL/q0nnZcWvXRGLaHccEvq4ENwdF3g2JQiZtZ2FVpKodnFpZ4eD3nVaC
6XNHf2y60RXOoAo8HcVptSvTcq+SRkVULxxzVvfhHrGoarLkgCbJMuT5cVLWi6iPVFRVKm+nSqWo
TVWi011LVlcynqWI7UYlS/w67JsjJ5myQmHceE3yuclSPyIHZWy8xFpZSbvHwuMwGpc8CD9EHZrV
GTxunt5UGfczg65HzPeC5lJEWXBUVzelNSjMmqXU9Wyo2ELK3uv7aV/T7iLTVGXMcgNthhkuzSoq
zHg4jgsRTPMhzbNZFsoPacXVQMpPeVBmqhfwTTCZuAkhhyEt51Z+aDXxoGpyYZj4jNvkCgcjngnT
ZL7lhKmaCiTVME69Ym3XeWyQHiiBHpm0cmKzQEG1Sqq0n2VjNqqm6uScFOgAUeONVdyqHrF5LeFl
lmWqnm4i+MwtXBflWOswetjb8euffz0vMvjvblfBx4PrrSEf/7rUiS5vb/Rq+6q1S/962ePWhGsH
+nWfwi3HfL/B5MZz/cjJH3PpsJT991z6y9t8fBsZ7m7z6NChXolgQSSksfzObT86dNhqBoKJw2EL
So7Ba28cOmyOIWHMQ5HzjnptHDrsrgeNdFD9vN/yBJMfcuhrZWTLocOOb+DPbdhG5W4bzOcOvQ+p
6LOkZl7FQy/AhW87zmLoKrcsQpfajYKSwSyWgUrSzwxdyzpw4yhXSXmLrcINqtRNDfKHGM3zrppZ
HCtjezm9GYvjoQ9qV2S5R7PGHUW6MEXv12OyrOhV5sQuj7JKdbxLvaKXlybuG2XnaL/op0XcxQdW
YPxugEhDJxXWo5ps4fM43Sdpvo9557eyzfzGAcumodu18e5k6Kqk8axKj2OE/SbIZhwlnp1T19bJ
IZbhgnWFH6Xcz8fWq8eucEU+uWM8zQbau+GAPjhGuzSaTzVWtAzdHpdeO4b7ppln8nCqcje2T+PQ
3mvTXdl0yuRXYcZcmtmuyeh03Ftg/U2hrypk7UXJlV0OfsfEaRTI/XaKDmFXL59kqXVh8jTJ/aoS
yzaIlFN0LmwnNUOlnOVhOQ+cygvKWcC5FwfHSOp5ZLhL6o9FkC86Ep1w2aushABsFR4Nlq32ehge
MKIyGamk3R8i+yROHDeHB65qplCp5yRCfgNuL8RmMZSXQdp4Oedu2RE31pd2vqeL2HN0qgqaeQGV
Kp+q2ZBXLumWgq+yVqhYhIBkDrifhLLwsriJFSEYHiCYV9F7OtWzKT7I+M3Q8YMQt/MB/J62pAqG
4ZwGtl9aDKYazEM5qqiEaRMf2ZXX62QmhTnqkmmGssOaNbO2uQ6KyjeUzVgF/qzJQwBAFIcFC23f
QeG0i3XE52PauQhX4GsPqEEqtMbjSha7wJ0teCswdSMchV4DvvCUBUkN4cSU45kIQnFKW7u9xWFx
UVnD4Ti0RnHdeiyuV05cC6VZNHnC1gd2MvgOjmdREniMrgIr3ivSYG8aOlWUuS+iUxSSGU/O0mox
Zp2jRM/0vIZehdiraSy8ss47l1c3Ub3CVqiSuq4umdUd8qaeFJZ0HgWJO0Z4xTXonP/jrkEShHZV
Bxjw9+n3g2j+6JwfBz145rtmIcijEDSSwLqe9b6ID54Z9i8B8s3A/UJ3F9B80KYePTNQbdj/DRZ4
wf4DIDo/Um1IlteJAbSEYfDz6y2LNgHrWUyFtOPh76dUmznfUG0CPUrr+ABc34GWJkg2nlJt08gu
kw2zvCatrcwNWXs7oMh1hrIEcqVP0qnyrcQsp8gsLD18rOLuJB/GBbfjo6zpFm2R7evY2eUEe2OZ
nBbI+jgVwz4L0wUxoY+b/oAPQ66yJiYuTW1logboPO3fW2EolN2Vc01N7gJ1127X53at2jD9UCC+
4oaeWqV9K0K5EgSMqgyLM9PSE03gldfTborkHs4jvx70oZNCDlDRdjlw7HM8nNlx6pGxm5GimJVa
qjBlxyTUBwXktGoKBw7E1TkvKJ3pGs1kyg8TlHopLg9pLQ5TnSzaMbH9ISnOLKc/oG26kkV/Suzx
TJLuqpqKmcO706KRfiOtRVOWS5qNBwa8bI2p3iNd7YVcrkjX5DMZAZFkw3saOJ4Uk9ei2HLLHgtV
he2sECYHG8btPmCk7IkfWQWkT/m0gprsklZAupspOQhYdFa0EE8slGaKar0a6sTFYnLznkaQVAxo
2Wd57lWN6DyR89anrBEz2+L8spMQPoqkdZRB1uCyqia3fYjFRTMQn4pmF8XBx5DXzgwW8TOVFWSE
mMVzHzUm8oBf3gDzJQoF9jwcs4+RQw+CaRLAIIujAUnLzbKcqNF0B7RG1VLYeevnNl/FESQfUxPt
WTWv9m1nqHYRio3b51HsxmlXeRCbxYLnkh00ohg+yd6yjkxhrXBEh1lWmtvaCj/FCT2K9FirSaBl
UCSXjUH5sujypFRYWIlwp6powIHLadGjgey2NNprqDRAJNiSTo6qM3ZV2E7iZaQ0fkMhkFLaVMfd
WEu3SXEKPFg2XmeJMwyR0TKTC3w8Uy2JF/E0GRXKJFIDEC2XhyXcoL5sksofTUndKQxiP8HJKYOg
QGiMZoXdWcrJCpfkjoL3hahiIhfcGmrV0Kjyp4jU/hhCOEkZxNx0aTpnPmTOXhyPgcqC4H3Rl7sN
Hc6nIl6YuitUkgVuZvGDsRAKOkdVCAhFid7rpuKwLZqjIW1mILP5ceW4GhfLXDbHQdudRqUolUjp
cRgm5xPE0or1VAlhndU4wAvHiQ/6Ql/ytr2x4KmUlOYCWo1L1dKOQcaatYcksio1FpADRE3dqyCG
d0l0ebTLreYDKtmnRkahkrZp99OpYK6T2oFnj9ZF0kZnpofXpItry8+m5BNDwQGO8KwJ2Xnp4FqZ
TEJuPQUXk93mflgWbAnZcjVzcAG5bSXbPdhfOle4KRtVWHTmZNHgwntzltntUUqGT2zoLvsh7m4S
1t5QNN6KJEjmCUqqwzGOz4KUlMDA8mYPKGXh8iBpvVDWkPjHPAUaxa5gm+/zAJZJe2UgVk1c01SV
U4h8llu1IiYuPTrS0WddcCLy7EZyuwz9tCkvmmxq3ZK0uwlt5GcUo4N0wrtVOLp1x1olptAoXdEP
XZcchBG/5rEdqsqho6LEXgEBZ8pY+rrvsg5sGpKwVAazjOIr2CO+d7Mg/AwG4kcy/WByp4GIbpcq
cbrLnIcX8J4cE91NbhXL08huFoUlIT3umB+jolZRHVmqn3qhHPh6dEu9Psw7JbvEt6am9Tptjtuk
vqmTsFdFbJWq6eWpMdPM6CD1HJTHKtS9N8YsV3oMTlMU517Yg6xCZGnNddcfJEl3zRNxxCp9rEd8
nOku3BVBdcwm/lHkze5498aGn60RfTAovbCG5NIZ83lWhLGy7cbrbXRuypQrgnPm6xxlKq3bMyfI
FqNuGy8pUuESal3kNI9cEAUy1Q0wFoQz6WEjOgV1v5vAEhCDLNAJKD2I29KoNkYGQkueeqLtBjVQ
eVHUkix00V4Erbwu4uCEw3LNebV+WOD514EVDIpkHTx1qT8UgxlVuX5dQhkvWZBZ85IU+1HvHLMk
Ox+p3C1IB8yYN6DgcOJPJPqchvZtRtCyLVHoctJbh6ZJz2SSaTfIHFWMtD+OenNeS7uZ46pvPJky
e78c09MmsC8Lal/1jMQu5T33bDTEbs6nkwwiqMIdNUswg0bleXyShAkFhYUMqkJd6bMQAiqz4mU/
snh/HGgFGg+kC6HYw5iuQmldxzFoNEKjCyt13DHPPslU74JmtXAG+2wourNXyd3nt8VaxW/+G6Tu
97SOQ/L8fS74bEOotZD5OOiBCwroLV3vTQTNOY6835T+gQvCOtL7PQo3DHBduIYWVdBB5d329bCE
cZObQ02T2nAWtkh/WOn2AwwQ+vO2cnPYHh8q5BSWaMEe0bBJJnzSUwZo5USLeooiP+7AQZTNtFty
fhP0JcQu05l923LAP+ejR9lUgzDGEehJIyR8GIzFYfEywgHQgATVqgoa20OgKSqmbQbmFHzotXjf
6zFRU5QdSs0/N7W9aGHxu9uEqPUcOeY+TzHcM56Ya6DjWhVOWRzbZRmqcsgXqJyQ31aJVyZ5kqvK
Kq4yXEBGW+tyr6utAyziYL8Y7HaRSIhNZoKgZWXjoEptx7EqHQ0+t+vOhEHLspfxTRaQWvVlXvjc
sNarpvFTM3YHbYes3bTojpghi37oDpsxKnazgnEPTQ1oyIVUdi0D8NQwjwTzs6ZCIEY45qQC2dOr
0rhSIuv2bcOkp1uD5yB7ZHs2KkGnjCYGtpsewHdV+E2JB2WLNFDcxonKxvhTV9TtYdEj7NFqWAXA
DmsNOupUiI9BOmQqS8b3ApeJB81drsW61CdFni6jmncnFMVsL0IsU6hvkEuAeaqhmo4sDrpmVvc9
Vy2GPTqrCpJoe6KdB2T2op+cwwh0XL+LQ9AOEyv3mbT8Me+1ilMLe1roWxo10rUGeaxJNSo+Dsyv
rPjcbsfMz+B3VHxNgfU5uhmBmoyHQwWvUNDzzDesMTMUJMeah52fZaHxMmD3SsTjp5HaczRRpjSy
E5UO+WXPJAi6qIdXSAwnxYhAaAeC3gl9HNVCAh+qqarrOnRxDfIuMc0yMOM80NNyKpvE6xLLeMAg
iTtYEPLDqhpdGejWHaZ236lyeBm4jA8r3h0mMSlBEKeDN4kIZs3Ko9Kk5ihDyVEs0Rx1xCgZtcFM
4jaa27Eg8yKVH0aq5zJDJUhW7YVuIBvJoooovA7b0RCd9CHowlltVlNSXlW9PBRTg1U1BUDUcAw1
ip4UKrXg1RtrcZDrcLjiNVI6K3edMGezCmVX49inSth9N7PqBCtSlJdmGPtZbiCXKURwCb9dAkWC
KHQneG1iGmm3B1VG4hRiI7xlJR1BL2j2cgLGY7HoJB7SGQ3M5YjrRZzo/WCoPw9O2qkIzn4Iqu49
CyG5GJLsDDYBOupL51yETquCPPanAmOflLaHdRKfkyG39uwYu2MAolUD1QmP0+xDNYglENvjYkqx
ElTvFzxVUYTO4nEIVFEYP6DjkmpzkUOpEXSf0s97kn4MWeUOFSjrKR4aV8ZltttaWek2rQWRfwSh
y2nOOgxhLDX9bT7iQoESdmngY1Gb0Dn8xM9hkfSJ63TJPB2jXVJOH6O0+JCz6GMlzFrGDwIvs9gJ
vAKlKuoEiIshmZKZuY2ZPLVkbuZB06R+ynE0DxHo/1mBbuqeLmJtgTsc2VE0GOFlo56O6truVQ4s
xYW773XGRsqyQAHXQwjmggeuRN4ubMeyVBnXk9vzpPC6GNynAcWxajJ9GDvRNKvqpna1TPbQMPgI
ahG8ogdDTRuFbLMwfIpVHsSeiHXmBqkBpl91B9B2NhdWfFREYQkvGw1VUDdeGml/HKbztIwPZc68
EZm9Ju6vwXODRCr9Ie8XZVRFkPWFkZKxhLJKu1eNI3eR3fqypsNuW7d6PiIo7UAlcrhyRJkt41Aw
186beT5ZpVeFeNllA1Kg4M1Dpz+zqK4Vje3+rBTjAhzboU2qo8kZr6eRHqatBrmUJyqSBN7ljhKV
RM2tXYpa4UDfjml2CKoY6AGiPByjkqu4sKA0lB/zSXsBp51bVk6hgnH8bDIGTNogqsBPaa8y/aVd
A7PHkZtgAa7ZdlQSBOUuL7mlUjNk78OmO7JNN88beSqs7rOTk49hVN/ENMvcInQuJVReZMT2nDb7
zIV10VpJPmul3HfG7ERn9ScRmxJehDzaqxFkHN3UWT4U4Ro3SMZ4hrQ2Xgk6u++EDO1aOPpcjOCb
dGJlfo0mpLJpOAPv4sL7ha+gjlosbWxmpZPLfYHMYRyVBw3NMCgA6KBh5HOc98I3KTriY3Het+M5
8PBc5UKsxMTRvuGBtYtjdgkOmsG7jy85bg6TEJ1LYc0TsMpdg5zrjASZSobKdxIyB4d+qaco8bOY
nUW4XZAw4OBxQSKsxswVTZarAXX7xr5iVbAHVh+peLIhMeTArVExHA4MvoSg1xdB3lGVJHwFHOIM
U3SUWsV7KCnNQSDy7b7ei7N2PwmBu6P0ukJQRnSGHvJd4TdRnaupRB8NeGjVOAOoP0a6CI25a9Js
vzLhwWBP+dyQctmVkFckdv6xbODVyOPKLEUWLTMNQnkeBi5vqjnrIHWN6jJ2yTg17qC7j0Mjz7VO
/WK0563sTrOYaleIvvaSvEn2KsYPyrLALs6zeW9ypEB6+Wgb8CrJWNFdHfe34GvAfuu4cpuu+2RG
CtGumHVJhBTn1hn0xZ+OQXtkMGioyBml6zCo8Mb7nCcuKt6nw6D62po5DU1dJIajKerYnKUQeE3U
f7KaIYTiA9AIrOcYZchr4OFU34UOpPAFlAsTpto+69287APfnlCqYgteiGiK3keVM7lh29gKcqpk
lmXa9kJdQjYhyuXEJuLaErW7rU5uLCn8tqyQT1iZL2uefx6sdhlCrzcEaOwbO7+sw+B9XJFGBSk2
Hiwk7hQzIG84wIO6tr9kY3lAi7WrLJLSS0rnIOr0J+A7k5e2ReTm62woMmRm1/0n3sv9Ag3nHZQi
FMNlflLWEnSOsGo9u8jKPYSD3i1ob/ZiCYUca+D6RIcJn9VWqUEBSStPjyD/pZGAam0RpIoaOvms
yZdBl6E/IU4fbH58bjvbeFon/E7F8b+ulnj99LfrNq1Pd7kF+90a4qaL5okwvR7wJA8hUC7E0DTH
oMz3VZJGO9KB5VTrXxeBRue7xW+bhETsIAGdGtCGdd+H9aT7w96Be0ATrQ2N7PeNIT+QkMCmSdua
NIMN6UBEoQKacylMZUuTRklsRmhDcbyOTfMob8tFbaWxakg6+BY14QJoY7iwEEieWbk/yZORph40
C7ipmON6dAOzV7d7wViemiCAUGn7dp5Us7wRFvCFTomiISpucqGaXKtEdpEKp9bxcWsRt02r1sXy
/3N0Xstx41AQ/SJUMYHhlXGiNMqSX1CSZTGAABhBgF+/rX1R7XpXtjxD4vbtPs0h4clpnsUgbn3f
u68i9O4D+DrQXe/7LL080H5d8nXr0na9WFI0FJs1W535bFf/rW93J+vr5jAPEL5kTUdLk6qX8tY0
cWp7fzmPnX+NOHlyTfjWe+AO9BSDE+HUvVpnu2h8mlIeJOwckhGzornKGhs8fEnXqKDE7H6PQjKX
1Hpw25y1WKY4m32ZC5V8yVZ97uJz7/zvOljKAB/350+wCPy2XIh+CafhGGy2Bfzh02wjvHTq/qEN
/LswlPDA+n/C/TC932VDsmvcojSzCrve3LPPuhnO4fDVQOavhN1Byj0oSB6/2Y8wO/J5eIuipvSc
GeGBl/MoLsfAr+Rk8ti1VbiYzN/JVQWqqFuc9JvwL7OL9WZC2gbwJg9UfXAFq5LwhYyRKUYbw7nl
XS7msOpoCOWjv+a67LnItnDCPB4VtrulShzxOsrltbvEnfOvjdTt90WeAL9gxfxaEpovjT2tyDul
a85aegW3SMWiJiV++KWd5jBG/aHbzpEOrkFLkB/CvGtM9NaT5AgCuVpac9C+ny2Bd5wi/0F30e9a
5+dxwDIloorgqgvSncUH1mKj8sPdO/X4n+J14UUsl2xx9WW0MP2inT7yt0S+jC7PdySCTXfrozqr
Y3GuccprD79RH5Jjy+UxESJtpKlU8F53AYCRbbeFtmHWQWWRVn720V5GDTV5Z5PnsJ+88+CTUnhR
nLeL/tW+7lkHwYvW7WlHxD7cCe6l67z8BRuQR5HFRvLJHefIjf6eXmpVn5fZPA9Ol6sxhqPUqJwM
kqTad+Yy3Lt76qw/jKgi4DAZFVOpFypTLDM2p6lvK7+JH9hC+zSonTZr6p3nsoET3zv8vTGGZ5Mb
/JmpSwui4VnWu3PRZmwqQIhO1tJ2yEQcDeWiJFIVL5VbpQeZGQQbCJucdci2Seca1MCqP336R7Jc
s6923iol+u6om6i9c6i4CMRrxy1ROhWrtg9yTKajIxdY9+vY56xnv+GRKBEWXJ0ZYFQPYCmf3XW6
i/r2Bet08Iy1NXha1d0Srcs5afTDQljqTFOmEWBvTja4j0nRG543I76f/9ndC7iyc0P42axY8Rv+
vK6Qr7r5q9Vj41wXCA0JDUYTfuZBeAigxWOW7XKHo2Be6hm2ZcNTG7WIUn5GeC0OJEEIhqdZbRHq
FwpxSLs93dz+MpMhmzbvbsF7D0g63WVWe++bmxTWA7xQLLWtROQ8aW3yHgKL0k/mTOXae5nH/0qp
jvG4p8OKVMdTBQtYHsciJQ4ORwE0KGQ3PV/DATiFaqsY8Ti859RMJFvFkzuCQsKOoKMp76OumL0H
I9/DbcAV8MdHCIKUPNoBGOjnZT8PnGVQjrCmIf6d2y4f5oeZjZXTN1iQYkiIF0J17oVgMO5Q2ij1
7/rjkipqnEq4WBC2CXLiPvGbjCCi8OePxri41+wD3qasXWC/4Odra3+ppH/YsS62w0PjxDcFYG93
s6YVcD5+84tazDgK5JsczbMKnYxGpjScl9Pi56SeysElGfXa1Ce2y5ckeLVdXzoyPpmuhzLN254V
rLavwj3oESZC+DMH+kRAGuzzDDN+OJoFyyN04SzfsXYWdnprwyvkbNrhP5hSkq6cQGvZtr+L47Yw
cVtttn6tt/bGTXLs52L1Ty3/O2IviOpi72glKM2EJWAl3BTaMpvbJNPTnGEuZm08ptEMBW68tJZ9
tqhjv5wQgRS/cM0o3ra4fVosvDqvz3ev/hDrpxixpQvvGIaiTmMX0lYj5AguIMrGWlW61ZCbUeG4
WJ5+RiyMu/2Zl+7vyLvUmrDaoObc6HkC9LIYAIqJ9zBpNzWwQLTnZnjjU8pVivNkhsTkEUQuTpNA
/Oz+jglAQabZEV4OkqV5vjbdmsdOdxxn9dBtJDdNXtsQl1VFF6vS3Ut+Otp//P9ryZ6BmrTl2o23
ULtlcDftLRS8Q5bUsWzIRgafRQRxl43+6JVIEDJvM3ilmle9+yDVpoOdepxBPD4sIBidmj/RnlVE
8LsN9osJ/zD3g7n3RmypJ7+WBVIVM3iH+bn4YHnWr7l9lQsCx61OqYeTFM4Azo7UWwf56/Ck47Kk
W5Sp7knLNU84vUzeowi3XPSvYfeOO6gIZ8Q5y351hrI1R5c1x3qzcOnUF2+GisqlFAnc0QjBWfvK
FnFRLUDH1kvNJisbs4umH5EwmXDw0mIfd1YEvoXUiLkned+CmdzdBjxMmxIRYs71/GAjcZqMfxo8
RF/gXhk/7P5crctQinC5d2yQw98r4vA8k29EFCAiMbLoP4kjT7W0jGe/NNMCKWHfxSJhAk9pgJ0g
wT3tglcdEJ0IgzRiypUzHjDeq7VTlTXDoZ/DEmsFJBtiQzUchadhhOJtcyb+xfxKj/qDLkku92jM
lJkPtU4elXFBxmIGCQzGXWfwmy+dAj8gkp86sAfGnjrZ5Io6eSi8xyvZELQMQfg0s+SzsdtzKLuv
bcUF3rhjCX42a/CZAVfBk2qLyJgF8qmPcaEijDI4OgVHgu38gY6BkGRd3WRmXnAM6PUGn00XSuGI
3oI1iwj9tRLqUzRqnsrvvTPffRLUJdX0ZayDG0vG3OAKiB17EDswTsLoqdfmssoQ7o6rH+t2z9y5
aiyM8rq+9NHUFv0Qv5OhA8oah4cJiEBt6rzdCC6K9mmN5ZgCLP3u9Vxnyfqr5mKKpPbF68Z7qMdD
Le1j5DSXoE+ejOtm2mzZlGwlb7vzitNx13ejc1587wem9PcidRHNW7ZO9jRt5HuCr7QPHNbLjPNj
xHGwntVgQCfF78G2QeIgdz8tsHqGsAgbJVPNVDV3f2nn54nsy8jCCo3Ht5B/r9o/+IigF2Yybyap
jSnUMn6D1RQrrTPVnwMLq3qdM90o/PXgn4p7Y79IO6S2eegt0DQ5nNegvwzalCsZ7vFAwAbULkY5
7FRkxhofnZjHgn6w5Ecl6jL002HjbbEAfoYLJuycdw2uDYCCtZzOZH9tG5j6+KU9xJE1DAcc0rgL
5l8bKk34nkbMvwKKzgT+AjHPjDdUI5iqUT15iX9QxLxG0IcsYmDD4bTFaQRfwWzdtfHDbH0dmzjT
yXfbq6rbtnS222EfnVPtAJgJ4asPuGyevZgfzNgfmWtLwLyHHm+jiEVmtcYk7p9DnBsW11xLP5WE
c6OOe4DT1QUzAu2dyr7P+W7OInrq1SGKn3fkEBa+WuLJDLZDRm0Am/k3OVDPLaJAfGPZq/AhxO2f
smAqt8hmwxpkg7PkYzC8b5TkrP6L2/REAKvPe5etG1wtyPjGXx6SFfqBBUfpDvQ4iuHec1YwGx7/
xzc/72LzKHya1huGCWxsOJhQMdSa3O9InRECRG2dI/6wtqBw2pC3vwgEtAW6s6ewJ+96QPQOPLPA
gL+N1n/qwiFnjK4pcQ0uxf4lhuPDZkiRv0vQw1m7rzmieQ3pFXplAG8oSQhIO2D17NVfIUWhrVXz
HZod0Pn6K3ISM+LEBtSP1w5HZ2b9Bxog1d28rCHfkr8s0ZK6QwN6pCt33hyd+Bjg4uWYXnisYZM6
9eeyRFAagOCtC/f44I2P3JwW7Rf4mPCMDYDbA3ulwaVbYdnLc6Liu3C8jQ4/Emshuoas3dXjBo+D
RCzjC6QLP5otSbmzXnG1F0riToloNocUUbyXJ3bL2A58ymJnA4Jq2MtodLmDDucdyHysuJ5bZ80u
76N5zVqA5nu7XMUVbCOGJQYL5hBrD05Yn43ztoS/4vew7csnt306s/XYWvNYU/dCh5+6g9PHThpq
Q2GoLTgstPzpP3fcmy3+gnv3bFh98GlTNZ1IByXyScZ388CudQLsHSunp2HjLwc3xu3U0fNcq8wN
SSYhUsR+imCo995rG7YHHr25WJZ69iWQoy1cH1xFX4ADnbDU5J4C7sDLVvV3jayLSD66wDEQtMSj
ygb/7yTBCSSf0j1bFlcibXvo/nIvuf+MUvatEy5y/6PTcuybt1W/DtBglF44KgnthCCCvuu6KfYQ
E7tDHrngVWUiW4MYtmCXijCLgeOb5VlDNjvdnNY4KmbyRG2fbRv24MErXcszDcurn5PU6d/2kWMo
x7nbY6SaD0J6rKf3Fu9PF9XlDtc+YEm5oPuh5g3bUl1Oja4GR1SIgISTfGlw9l0f5VbuBZeHDvLK
s9eB11mI7oWds8BH7ecr5OCe3G/0tEoieebPh3afqqhtj0jryj3qC5rU18nbsniBXase220992FB
1XraaZLGHnj9fYFpu2fh/hlBwntoh8xGVCEEViTFoWkNlOSQLQu2nnm+hAmEIY4de4nlI20JEBeZ
hoiVguQ2TVE+ev6dSyGqSX+XNMnHCnTDMI6RDFMPssOCKIHne+fZqfzlYVe1Hvd1Lf3+1Qt+pn6/
WhGkPp+qofHzNlAQW+jcrBtDpIXYaFHd0Uum+041spxGlvuafNGufejJUBmGU3IjNGc0AOxBCCta
ET9ZYIEglSoz6reI4iwY8Qr2CKSGbh+zbdgepqjecq9LvHxbyL1ddek4418RvbTyt3ASJ4VyBfgK
do7JCH3ovLDe5iGlFTj0wqzixPyfaVMphGk5R+tDlyy3CYIz6WIwybwikz1spt+zGVRceAG2g8EJ
+x+HXxDPVd1iv9sSjBZyGMP11zZ4sJg+0xZUC4f+tvIBfllq/87LcYfv4mO7mhGddgp5Hk5n5f6N
6Yop1Z98C3Eoh2ONVyhNzMeGs9Wr41xhR0jo2UWStO9//T4udipOYFgwOz8Nrg0Hr9sgzwvW+pqZ
fEA6Ovn+nUPEG86EdLJHr4n/KTVXWzDmNIF71WlUUASaP8CdZnFuagTMy5qRgReLhxTM20+2b+6Y
fQ+16hCagM6X7+jqYOcZwBRsqQ66so5oUfv2eRfxsfGnIgB7E9PnPl4r8Knptn0kAQKib+t0FbP8
MFP6MK8cWUVXUtBA0st0rTGAQHFt4y2CG1RLnoMGuLZk/UR3GP6336baLsUGYCm6R5PH2woFwKzd
Pjdsr5P7GLvgEMlCD3wAHrA4oty2pEesC5aqlgUj249UqCn0yxjm0gl1RgFm2sB1ztcWB9yPXoqa
OMfncHzpom/HjoXaIDsnD68KCVnRKyyujbeLY5O4CHeJBevOL008/vODf36H/DTglwirtkG1R4Es
a2uG7QF7f7jvUCPRLbQTqmM1/rTtT6vIK1JoTAYw3bi9EQhnk+Nj46/WDYj4fDIj3KxxKMPtOGhk
8H3hmAGi2FZkdU47gUcZ6p+m7qG3g+PqndTkoNIFDQYzdBO3dgyeRh+dgeBpl4Daw++O02qiB3wE
V0Vi4OgBLWL9EQZjSniHqfuAh/48hrgPTIAhP5i8rgOd2hAgopT4OfqUhs4z84ayryFp+yT+Y8c6
T9gJ8XoWROq0dPs31vXU7BJlsuQZjY8R7ELk5eF6IePbgLHPCPK7+QKKxCNNiRX7/0npjN0bWk1V
G2DhdPoDlT4mMBQE/fLatUt7W0bIdQyKc3MEleiorJ33cg1+jL6GJAIvugFu8N0K2v7OTL+GLFa0
aH9n2J41ZL7riVzO6oh1KFXzo9dbsCyFxm+Eq+G2DEBOVWM+Ez6+1EQDR2jxZ8Ukepn49Op38+fE
t3/jtKT+hM1s7zM42L6MMyr+eKjeAZ6rRe6x+hc+KPF8UPAThxH3CpthZSBHBGh72qg9y1WnHoQH
bNhsoNObHJIrYpozvv3sdPx1w8roeAfPJIcwudhuuUQWFvVyNYJW1vUgaJGaTgoURPsQMACT7ZlC
AzfLGy9QvICcHiOaMtFfp+012LJg/kY+faenZwEajmKnFQHkcrRn3ARPYrt6WLb8hp29dtQoto1D
FnoaSACdMmAJB6/WzSF2+cvsoAAiKOANcfY43nE8YzWV9CuxyZn0SZ6M6lmb/nuA40M89STR0Qva
upivY/d33erKhXuWNFHpKthIcADksZmdQusIDMaMsCzJV8+eAwo6ELNxtiveNAjY0McuO2Rd9xDw
19kBcKGb3BtfVRMdmByfDbpBjvkr6J/ZU3dD/4GX47yElZWvNHjhFHdqF8B4+BQohVjgvmsXpl4z
prODbK3R15rCtE7MEVsy29anjeOcUEGcb3HW8zFMey8pux3wB7qeNPnThQ8CmXA8/UW+WnV7jyN8
qSJ3/EcRAQf9yTJz2DyahnNSzlOMrLjNXLxFXvI4T2vRku3F1xXIztzp63yBOOEUGHwIaAGbVTuA
z/xT89cdO0dD/yTIMnXsPjCis7n7JxEodP1e9hQRd41EJG6eksH5brf2GC7rdFyTyRTSpchLwXhZ
wdNpjqrZBaaz8temNyc7eFdo9NvsTSB16mgDP4vb3h/C0ywxezdvJ2Xfg5NlPl4qFxx1KXnsnayH
RMP1r11M7sY6fm52pBBYxHH3ieB+Ai2yEnlVel5/aZLospJ6OHZh8uZ2i7prO5wMrXwXUfu6rPuG
80WCvCyNbRsYGfZza9p0n+QJQ9M+zICyMxATbxGi3WKPOsjRxD+KPgI0ZE3le1DNolkQhOIPiMf/
5SQKRzimMFBvROFEXpuytcetmU/9pFI5tZVs19/vLpxJFTLErDG1rpBbVXVsT4GKUuHUJwHHiUg3
nyMfC2j0BrcVbZswFctWmpUBob3xqHu3HjkCK0OlQvawK6b9bRAkMw1pzv9/gZvK0r5zLh1LHlrf
gVrwLnSa+AHN2zwJ24pAjNbglV22Xz0G4lg35ej/3TDxEdMAvp6Gam06WvqOd5+EwzP6t+10GqIR
1LSMv0LUs+RgQMizPvMtyGKNO5+fByHfp5b85YsthhraBw6uB0u0JogwRCMwvTvzYkyM0uoKIlBD
AlpPgpIdAFzBdFrmwxrTEqWvEXS8PNJxhSLFYPWbfDanacWYm7pzE+IIGkw2s+2CF/5igc637btE
4pZ0NGvUiEacV7RAwEeYzx6ultFZK45zCPR0Pq2l6Rsnp4Ri+ekVxKrFDQGL5zpFbXck8UpTb8yD
Acsyqr31wZoGOI5EDZvqB3ckoIS7BWY35hdpGENFFwijsyQXFjj9eY22+4VM+4G5C+q9/Cqs6z7b
37vYhPIAu58C+7j2QTw9822GlcThCrsawRsHFkjq/bhpAo/aJLC4QoY7o9/CAxE+inyzKj0RHpSF
YbhH+AHaxmnK+mIoMwXlq6lQehGdDR93lEFGHv31XYRjBgnTHT8uIwtOMZMXa0rqolxs+lyMI7tX
O/sw8zSDKcI0HyPs7lNw/v+Lo3C7kxFLn9Mvj07rJOdwFy8Bf6mHqH9youOo9iGnNX1AP7yr3CRH
8wQ1bK0PTax/UM2OUbFcj8Lt/XxeI3qNxyAdtnU7LATvz5jAMQppj0GZ6Om0z4kHcBxRhUWwoUd+
2rRlBWCOAoAcO3E1oJoWiSWrF9+e+AIAPd5w2ntNXUmGKRDhtciCAC8hx9VuouGFNtF4TPR4QTmf
XfDwNNy9UVARM9IKP9rruqyo9XVo+6EOCwjbvSSEgfcUErd1j60WVRcaQ4Bv4R4XNZ9GlDF3eAe/
NKodtUh3zbuzEigYRODkEv8H9ROvQJWiTdkQwnU06jNCutkJOeR6R+U99rd7Kpb4xHrSHhfW/U0S
XJDrjBdC/dbTLS77czwE7yIJ5CX5NaF6CL5lQ38c69kOE/Nah9BKHGpT6XW/7YqoYwPznMUgHqPN
ee0V4PbJ9ZzcRIimZYDrWjfeQUUN3jkvqZIBqV60odse/t6lU7GFwXoaOknT3o8UHOckqZa1vRKQ
uJ3c9/PN31lz14m96n7jrrZuv0KT+CUb/W/tfeKtSF55bH5DaS+LazxkIKi/+5okTygsbIuA/BZT
KVn/DqDrGlFMAD68xpoEFZpNH612V6B74Zx7AX4g3ukFLyd+0LH1b+2EczboAn7gMZLL1ci24tcG
q6eAiZF00Wsr0JUhy1lHyLnwQTu6Sub+dVX4PuaQLZtjkG4zn86mU/shYC7wnuZbzeIJSj/JcC6b
tI7YrU6aTxBZeNaBGXYIMhhzI67CMWAWi3Rz30sEZ0nj3RKxbxk1gAOMal60v6IYu9IrkhZ2WxIP
536H6q2/QgA0OwK3uhY7xKS8MaD2ZZKMn20Ur39mEE7Db/kW3NRwWDzy7kcLgSMNSRl6/GK6FVUN
XnqrhnSfG9x1e/jEY3rrG2BMm0QjuPbWIxCwOY1qhO+TaBh6B6Eo6IonXxDUE5H72B/m7mWAK//Y
D3vuWJwszer/BIjIoUS3W+0TdNxmtERHtWCdgR3x/xe/icBOmxEebnDbXBOcl1+vc23lX1LPP0CX
Gv/Jzoim2oad0BeFLAWYCCXnNwarOzutmNtwJxYP4MSy4/QyIp+V/7AReFWsh31rxuWqw3xdu7jA
U0WAcAp56+J4ztouUheB9NVlUYbjEGvsCuCWLHXWqZocCZ9mcMJRwUJJCsC/xe/TDLjp2rMvCJDu
kR1IqP7Nu4lgysnxMV4J/MeRnHanxrXWMFI64QDWkC+v/sRGeEb8NDk97rN1PBNkrTyOsJRRteXh
Art2WPGgDWDnMqCYt62oq7irIVTWPkskesIk7CpF9he0t+59xRLMEzC+gjhnPZ37X1QQZ1tdbMYW
cLzESa/joZvUB3PolrO4/kKyBM2x42IQoqhtEJXgRD7FMLKSxeONNa4onLVBoLZPQ1ZTBbmERdrz
4aH3PF6xAfonH5BObnaelJgh/0OqUyaGOANrhxd6AEA+zRtFV56K3K/bd7IMueBkOk5T/GZgNaXc
i9VhxSQTbGX3LigVDzZEzpfoCQ+xeKwDAWtu2I41qMg98iX2Bw4kYwvDMlG+gyTEm8p+Ala+Gt5k
E6J0NDxRTV7au5gvR6exI6DNGRXpKf69d333OfRZMbHNA9T229EPoidC5D+i+fqoImoRLnG8JKr2
8LqgRi5iIp+8lrmPFAtMNi6IBzZvDQ+j8qpEUnoexuSIV5BUlgmwM4m+a+L5hXTxcpCTsMBxqX/o
E08cDE5b4DqCnqI9JMUsmz4TMkoeOl0XI4WHDsvBfZ7w/E3sgfx+9JygIPNO3yUtO8XMh5fM9CB8
kDp6UH+ZZvXH3ok/RH1HWjVXu4/2uR/7JeMr3kHe0tdFT9Gzb3FmM90ArPn918EmBvvnuhQkaJ9a
4eOEER2kUTsPB+1SNAIN4rlhbt5xN03VZIe47JxQPrcjqyCKEaGh53YKOcdfHXhz6gJLvg0GXQyO
ZkdZ++54g0LO2whzVnlBe21M212pYDZnpNky1KtGeC8wNBLSuKf/v0S//9SGghzj5o5SFZ2cScIj
djVsQdb4pSucL+Gpxk83icxlRgRg4/Uu2NFB4gE7Yai0t6jzDga+86kWOAkmJFtFO7r03DW1PoPQ
4dAfkbzucT2ik4EvAq2KDF3I9sA6TNu1s+QunNvleWtY2QSJfd4C4DU0/PRJ1zyzIECwzUhUtIOv
0C6YaK5cDns+VO4JREKXBpaaaqPTfpZqvGmXRHcUsYlZSpT8vNMwwRawE1bHdu/5g9t41bhIwJHj
hK5adxpqrJqRx/MlRFuqXboGyEx/mFat7wJsd5U/8g+0EDNmPXFD8Qq4ltPI2z6YHzE0Q173KFCw
VsrXvVYqR3Uuwm1Bg2PdxGshvNLXO5y+CDysN5jpWY7Bx+YrLG4SDz5YMEZeadihXd0t7jFskFg7
Qj1OqCyckwXuUBzKx5hr+YhQNuvRVcmmwJkOHTXRc4y5VOJZArqQkYT5yLb+qNoQrX8vrtOuGXMQ
W2vZt5N/COHClmoY5sIPQ/c0+v3PHnTNuVsPrRPI+9kbd9Qx9mtrrC1R9x1PkGsPYtu80syYPoMz
IGpTurmLf7+E2v+zG88WDWKpeSLsfh9Gcu/+fuFGUeDYwUuH1SAzkFC3uXHMzetCeE9IkvCZ0Nvt
/1+PI4vlVdO9xJMxSDHMPEonGsHzcnjgZi0Hxao1FVdQa2e8F+YhDLV5oHG9nT0SvKK7mhS+gyHC
h2S5BtKs1wHPfzQp2NiqC2e09Yg9gNmFGzKo5OLwFU/7gHYp8JCp2c+6FdVODaFdTjv175LQ+vCI
mVeG0kFuv1jvdfLxEA01iYMcuujmW/IvQmCKqdV799SAcdVTBztPqz8WFvS4TtgNO3tpTLJc3BGd
5wWuJ0I2oQ4O33s8QmJe79wW/0H39RsShrncPEs+Fmyz3T7fDQGk7LbNoNimGck9+ICR1WsxoOt4
MnNXP68TBUSESgSFer2ie5TgYVgoHfSWdjnxQeXEs3d0B8jscB0Y4Dv/fTHrfK9i+Fy1wPM5TC23
i6TINAa/Fk0OADJCL3rc71CYP6z4WLW0RXPgHg/+81BuXtp7f2VggKM5b3axfza7KnBwsze0YsHj
cDCHuH+/8EQfyLRN3XMWbq/RjjGCCXTo/AT9U0Gjm02W6JYwGNV1R2DwdRS5NUi959pH79Dr0Uxw
ASS7wX7GB/nFz7ILDtzLQb05VzovUGUAxLJw1th91/+4O7fl1pEr234RHLgj8Xh4p0iKum9JL4it
LQl3IAEkkAC+vgfc1XaV7e7oOhEnTnQ/2A/loiyRROZac805VkExUbsTgt4Y03SLRuBFG/Jdkvmg
RWzV3E2Dbo5GNOBpSiyGQwhAN45u5SuJy7UgUduDNrjMZTrdBTkqBj9S70cxOZcyHfdd18U3qdla
+9Zp35OILKnBhG6bBy0Cd5iVz1EatPeU5E9xasiTwre2w7dOAr9qi/2Ih2wVgQw4TFF0TTUlaYFm
MjZVuvWdrDzoanzM7eg+Fi2Ur14w53Vz9zVN7X1WocFPHjgYVxZIPXbUMhAdPoOmCF7jUF+6yL/C
tfJWycCMIx7T/EAwyFrHuZfuiiajcdz69jxdBOG3HG//LlHiqy3ch9JTsGrmYvGbD5uSK31FVu5O
h/OPUtK6+nEgIWhFYuMYZbtpR+Y2CgfFSnEv7hI9vZojOQBeuGpr8yrT1L0SW/xhR/XPKjLf0n56
4Q1K1xn8LuR45zyBaljFNaOxutC3FbSZZ79UmyTU7vs04D1H8woIp6CWx2Uf3kOU286OEWz6Whor
t5P8/ZY82mI+U48kO0JgjLaH4c2u+/mmXfAzbeE9JcHQrY1SW4zK/EvG72hkM/HopPL2hREzeLXO
guTChpgRXrJOA17IES9KTgOzj6DqaNoPWbnzWrUmvjbbBA7nFcW+WpxfeZLQK/Su3nVOXZ7dIVR7
ST3rMkKLYoP5ipds6N3btcwB2Yy51HsAecep1LedGDT/WOTHnMhWqLz7JP6JlfalC6boIHtxnkwy
t2FPpj7h5mxjE3eL6VCgntos626yHI9OP47J3Wg/1nFdHlyN8SBQwQULkl5Nc62OUpQ4dPvU2Y7O
Og8RER3qcbx4BOWQyuMQlRBwhyg5K4iOBbSnazPInd1k2/GpYx6/LUwU7nIYnHMuaR4HUWkqtNZZ
2xGar9c0J6fO5o00cOpU0VFgMbtgGn5Ims5CzaRZ76tCb7METAShocUK4rQcLIwMRPLUtlF9GbEL
MD8qva1tkjU0k97E84KHUwZOvvIKvs6TlV7LKc6uvbhVDR+AizS8GnsQAtpY+HHhDDWIeaVXINd4
7nQrZyG24xyQafN2Hr/wObV+TrVT3ebS+NmbfrdTU0AETgft1pknsSMr9THCkLop1XQswnEvCwRg
VZ1JMgz0dz7KhQkTqTar8hjGw40z3A9jOTHgdv2N1RzrUf6cfVygYnyvF9tM3lhfdmZ7+I7QMLMM
D6RKlc2/eDXzQp6MiCmCcIpybTMTOwcNdKsiU9nWKMb2JhzbszmEVxJnX8o05DaaGOQrBEsgFLeQ
Qmx8oFyM2OM8UCeMmBK0Dx8hZ6XcHrUoEc9gkuQ68rFbDUgiuQKiItTobEVq8aZZk/GI9LTKwimA
eOUWeARIsIJF6E7oZwofMGquNiwIAhblN8qIG6RM1mbLWJUVpKuuoh6lZ7/turlh2uNvIjO0djNt
9MEYHX/X+N1zO07fTd+PZ0JV49lY/iu0jZ2UfgQIgWxkTnm/A4EYbxPXydfC8g/EUppN6TtPg1Of
KZfbvTvRz2hYU1vVN/btbNnzpctf3bDcpm6U7UYzf2BmMGKVmaZrqxU6Qda5e+Araps5gbOuEemy
ygYHJU9RHHWH0e3J/WZdu5Hu9O0WRnA/e424N2rt7Sw94teBx9R3aXzUQZqsmHG5W6swxR4h41jm
2joG0lyPiJs3zlNMtOvsFf22dvs3aB5bHKHWKpNfHOTVrhEk8Etv/JkJRuuZdD49/xmyIsMo0c/X
WRwz9Zro3mdaIcoFqbG129TaFpPCljmkOfZISINOX2FLpD0eTWwVEFFQxLnCG9ndcpyvsP6Ox4kZ
eu5Tn8zRLwGO8SgtwFiWla/n0jLXpt10yPr02zKClOX+MD1ME/bAJK2H7KKIG7hIeKmPfbxvbktI
C+s5H5dwLYYoA5mj9Vw6Kw19KnOsaY0Gib7RRh1WDm831vgN04wj0GjKk3a7Bh+RBQKyyiL0TRoc
q2gQdjuCR41du1gFslvOLr1JS8bdkXEORWPdWKX/aFej2Cup+GwLsQt1QjbDIX3YlN0j489oC8zA
WHkx7Z+T1mclInAhJlDPij9E4MHyqSMNoqZri5z3nfrVuzv0dPtSYHdBtF0Dhh/3hjGPx8avXwSS
0l7bODSdxmEehS/DVsslTeFezTgp6whGkCq88VzZ5fOg3Ac7S9XV1cPJGeMLZ/+73c0fqTmnx4i6
biyyc7ekE6wOMTdfZtx5bVg8MGve1R0hynTnVp8cs8YWIkgKssSXB5r6c42ocDNQsGB7ZuhmOzNy
0obMQIt9e8CQiCMaL052wqxdHib0pa4FmcczMGym1F+ZovpssffNYQv0DiuLm3K9WwMxb9Xve+kP
R6+IHwrdcnlZJfp/16XbkEoxotVZWXBcTkla72OwpXMyfgfDW9VbdMZZqS5h/BXXEfJiO1HpkYIL
Zzvf6YIQQooAsg6pP5cmc+Ijw9cPTeU0hbDVOnGflEVKJZ08t31Ebyt5XJeXcUSaXQ3kcsiZjznR
V2qX3gbCKbe7hTMn20nth1sC4eNGRd2njhMcG7ZVrgLXMNfYe419Vx7TrN8L2CQ3gzW3ZJKNbFOp
2trqgFljwtxpPbnzRNHXXFpqqlNGnnFW7jYiy7B2s6cmhasXBnG4cuidN53Phz9OwYxTJQt2uhue
rIZfMA4mQt+zfG8ViQecKAANwvFBMDPbaNnmZFr6epPN8ddA0qFAELlxwQDavosZIZTtpWsfteAL
j6id7Mreu4KbKrbaxBvk0w+uEx//hVDPUYQrleJrWJlDvc8bYvSl5toQn4MTdBxHhLun4ZfMjQ6i
D8YLJh303mlonc0ZZstopYup9EcDMe+vh4CoMpMOYOlnEYuTbCtFUu8W0iGemnSentJ6BnQkkJQx
X0D2szE95fjiO6nWDUcxmBTEvrKZto41/4gGn88YlYD+7c1IoImq+Kvz4/ZsGBbG50LojQsRFwbN
h7J8uUx5zMP0YNc2eCu/1oQFkXtFwXTRowGPmT0Feqhvej0wLO1qSsLEfDftUm1F7ZCvje4b1XgU
YnGPEMHHHQ6RwVyvJzEs1FkneXcQXvPTtGFaNdII13Y/8+RP9RP0EwPHv8MbNHTWbYBZz/V+4UN4
ScOifaud9OKWgfdFmPYYOo9hVnd3YxcFTwh3HwTz3XNMamDUxX1gxITS4/LGzqOeGaTOH5NG3/Wk
ADZBn8Bo6sbggCoWk9KpPorcfurHdLpXHjVQ9SzafHryo4X5xOx23WbeQ5C2sJh6kH/zWH+4VbUO
srsxs+aDF/Ppd8sEXSiN9ZFWcD27HoNhnks+EmQ7oF3WzvENE+XItw52W7zkkRQnyze8PVsok7Xd
zjgvLd6S/ycMl/9erPJ/HOnFh4Lyn5NeHtL45x/CmP9OCuQ1vwUs2SwCKtuGefo3eov++itfmyVo
sJ1Y6craCps9MrzmPxKWMFeXzYTCZYuBBQ4Q6nVX/42v7cFahxsjLJZxscbiTyQs2XzxD8iXha8d
uGQrfRDf/NgFCfM7vnY4DnFUJR71+sxsJ6+tvR/ARlLTLWi0nz194VtqKpjEUfjShZP3lHPdrSxP
nij7uL2vAwrpJsiiZ6nUqaACoRpqd7aRbQGDnCv5CgVWYfetuPCw6/LFn1apI06iTXdy3Kc+Uxva
NxihK2VBq8p7hFM/S7cTgcO8Mc/oa2gPpPKAjGya6rZyxbvSkwQ0HTwFPcNJZuQguFYlyXuQ3Ri8
VHnyo+4tjf6Kf92QQwRIoVdC4r8qsTRk5rDRNmJsdpH+BAYqeh6i/l5b2cbK+F0GeSUbu+nUPO70
PJf7jpAOVSY2C2I+3Lepfktx5gRSbI2af9Tj0s07DjYiGMl8NhMvWXlLGA6zYaWx0dZ7p7SfReF+
6SipAAVk90RQf9h+9RLYyOlK4q5pE/kYuRReYd7fCpPptCp/5GH3jSDCIZAhxg3OrRoJjNg6esrz
8VfNq9fOaL3K+WToR1E6O1M9SMY/5gjBB2goaAoyiz9TUKIYr3dhOW3xhlyyhTU6VVg0PfCjVaH4
u0gfkjO/tQGU9qKU2zFJ8mczQWzRVcfbHOJ/6zETiyXp1SfoNRQXHkWIvQojPrURG3a2aDEyrlZL
p7ByNS1fPmui9Noc8PLjmYkCZsODqagA0qp+qcrFChttB0c+gW25lhlhrMmHHFLvx9jddCj9FJzx
DnDRCz4gwOq53kEm2Ch3SfvE/cUeqoM9uz98G8dCNDClA5FzjxTxw6XJiqS8ZtreTG39RIO4KYH0
FeZ47PLh0yX3fu60HW5DFXnMtLKjkNavIZXWYtQjWmes+QJs2plEcUP8EWIHheZKNZ85htoqcsrt
yMxMD4ARIwC/x6zH2Dz6wGUm+UPkeFMaQhV5t2szzYgmFAci16dxRrownfGI8eqt8PYY0b+nqqUi
KxDKfTfht5waAhFqNTcCYuuPsNvNdrCTACR8DBiiGn6YRrCPIrTHimZ6Am5XMiCqM8QBAPMkEr0g
HvckpIYN2dTyNjeKFjxCyNDPdTBd2schcx7raL5NlbuZAnlgsH6hLnyBsnsCDsUsDdx9m3tHJhUg
oboMmztlsJEy57DWYfeWldHGstUlF2+lApkrX5gKvGGs5dfu32RbODedF5xb07Rvqk7zaZHo30QL
bTxYuOPmQiAH4vLWgSQnIx3isrmtjWafQS13oJcPC8a8TRRQIsjmSYyhmFzan7/d/ntX19O/ZJD/
/yMC/GHZzD9fQuK/xNWyY+qz7/71q367umzWeuD1CB3hBr7n29wNv11d1l+WyyyEosQVtmy2/vvV
5S8vMgMgt8LxQme5UP5+dZHX9LgMXcu2TH7sn7m6AucfaWXLJid2b/OjHG5R3+PP/f3VpeykcDsq
qY1TMwuOTZdnrWljHjL1WJretLf5TbfhZB5sM76fyuDSO8RSbEdnm6HQH4phGPyd4RAU0JKdXhFc
aw4M6kgf+2dtmczQUSeUG52mZAjQf8YU30h/aibrailQn+P4ODMN2SQXCt7vQY373MPXKqxh63pL
sMsQ9XHCh84j6uI2R47ZN4X7Mzb6HSDEiOo7nslCuqBNdImLxyNxkN5FbfChTfHe4RNbB4pIuze4
2P4l0frOJG8pGkBU8cIBaeAWZq15HJ1yb7hFti8Y5jt2AiMtZio32eFXbMj5UIaaSHq6T215mBqu
qTYxOn62896UhFPa8Vfqq4+MHrz2/TPrBMxjUS7clFmd89xZuki9cqrwu4yNvdVaR8MSj3mQQk1s
7+cw3VUeqpHHUoWRPB1oyA+03LvI9rZYVSASTHdRVN4YgX1jBvo+iIY7W/U/hd9Op7bqwSpWdy16
6bavAO8uB53VeIeu5zJG5jmVsk6QNDHRlV3sMxRIceRYHXQBVe9NVT8mto8VlqFkJS/483ZxPvJx
YNuNMKLUOR6ZRo7gCWRL0gEie1/ssIftVSA/Bx1f27Ag0TC5t0GuWDNBACP3TqVoqpVZ6n1r2x9p
Nl4nBZ3Rg57e1uTl5bQzhwo+FFkbKESFW70OUfE2JeWjXL5O8LFsp9l3bk/ilAyYdqz7OKgvDvgX
b0wfCuU9TbM81ETL+or6Ip29n2auNkHrTUdSd+s0yIe1ChHw6wp3TJAfU6f/zskEqHL62UjvudJY
rEFecpV6EPAKc8+9cLDreN7NzbgvLIIa7JuED46SHLbTe67xpy6XXO7+gsaAt9BqGkgyGSUfqVkc
8ISBvTpm5EKVN1lkrIzKGb48P932MsRrSQTD7kbydNLy926T4E9vHsu8MUiVha/GXEF68+aVEVo0
93Bf0ubQQKXEyg31RwGYEW59axdFsCZefzdO0X7gW7zJwvhN6QS3pItyaySEqLyT6xg3hZv8lPBz
gNqJH4krj1gj3iOMqsg12HvtaCaT0GXn2sbPgAyyn8LCXA8DDsQkTfjM6ofR0Pepqvj2UXOIzn+z
eSoWCl0j9MNIAGidjvk+m9p9qemVu2oc13NK6GUKrGPb9TtZMUz3+wljK2H8gaEdIn9/P2rjOHVF
su59bMHsRSKf4HhNCYDN/LAoqzdd49m3VhSR0x/nl6aOyKHk9gnsdP0JkgqkcUxfLAcKqBTr6NpN
nOEYUZLT+7XfjKpuO5RMHqv0R+KReAjmTZYRwgqyat0EGOei9sZYItEDqTp7ZHVMluzaPnsf/fni
J6NLpDliC4sfPfozsUQYKbe1TzB49DZ5032lmTjqPtyL1D8URvNFo3BjugF40eRRRTlapGquZcIs
ihf0jfg2+4bxe/cklHc3jVCokqzT99Ix7+OUCKBI8SmXw71jqfnYuBn7XIAjpCGGxMVRtHITKvkM
4cSWv+JW0zekWfuWqYBsmTk/1mF165dDtSF3euCNh3jg48Bt2vyrBdK45dNxAaFGGzv1z7NnXMs8
498JqGZKZhZlYN1GBAfS2TpFaqQfHtwfkTvdiMY/YgTdd1737SrUoqlBpAiy1nlozfBqVCx7sHUS
rNy8/NbAytbWVHCuJlfHm7ad057D0Xie+CDXQ958QRIhnQCkl3ImZ3BQfOvefRsDthJhFHhMYve+
0Gw28KbsFa1xWy7AuYhA3WRb28mXN0SPToZ0Lk5Jeapk/N4E0zWiLFr1IryzInXF/TZtapgae2pq
rgnT2CrRLT5j9ahC3JpVvAtkcuQgqy9mBCGhs3Jzo/3yu6zE1TcdvZdu4p8bWfTnVILDtvMOLoc2
Xkx3QIMdIsLpebgdcX8eIATT4iT2uq5xZ3Q5WPVxxN7vNJg+moL1C5BJgAJMzX1UqaM2q9eR24hE
T0uGKPZvexlMsFmmB7MMEN7s+mi2isDD4NlkJRWeWvdpVMB2WyZPysCjbAzqbrDTz16aAMcWmTJ/
IXqsN91UXMfFeszgbleo1FmHifHReOVzgJU39kjR1325znwY7BPwzhoRcoZDEA/ZQeBhwmTBN96Z
9lNuXHx2MtRY/daWDA5ido52nR+xSyxLpIT3I5+J93FdsDrJ3jQa6qjf9/tUxy8RX59Ag3a2QEia
zr2V+9vaqM5W4n+lPkCNaTHzJ5XYZO148Sx7U9fQBIgvyQJiae9+NMDiurxcWX15juf4kpXwu/v8
oAuDUR7Q1NB0jgzEDZCSpNWFz39ckp+CQJG9mT1K/zEp4oPHMbpJ8i/hZyiJJe1PZcLG5H9bZX2P
R4+lFbdFssisVfhp2v6jqbNsq1X84SXyRar4piIINzDrFOSUca0/jbqOcY6SRCV0GD9lPQlXPjwG
n5HHChSj3CViWjcyZn2QgzZd2Jz+xrydoupp5k2Uofve4rPAaxHv54CuLydYhDXwFpo7z+voU7TX
Y7uVbfJJD0PVHhB7GLPxVjIEBlAM86ubsdwsUmrUtduwagEjeCaOXBR0nTvLm77zGh/OjfTWlZdz
y9Yzbo9pPqTL4FAsrBx+u3mdEeJa2S2hmXbEWqxxkUZZcCYzcGv5yTG0OccMCIzYvY9K9nvl9PvJ
K7e8Z3e9EDeiLA4pPU3Rsz1AmNd4hMRjCJ7ZkaRwa+Z7HTc3MYk+1g+dOvLSTte8tWSZMJd8yjEC
H4AnC5sVWvcpHZOdhCURFN7WarpPWQM5ixu8Z7617e3iZHCZWIwcPKUIQmGshxwiZMQaAh6/Lrrl
0jk4CyNlYsuMcKZnJ5ug59tLbO9RqW7T+B7s59zYOmQpHemSUlDfI+DpznEpVuV71rZnHZqbaug3
BcnKzDEOAz8xkcxM8hxrQSPiaWPicBonsrxCxy69pnQeJmi82DUssqTpa++hA3slc/JR89CV8jtr
FaWx2mUuZUujD6GAO97Mp7izUJd766hw7EJMMa74hbwVyPS3OkAM760IznpknbyAfQt6eWyZiJEB
MyqUFGgMvUn0WqbquxYFiflqVivy0vyyc/GzJPoAeZJe12NMdCM7vmqRhBSwDAm4fcdN1WbizrAJ
+vj6hg0WF5XmAZm58d2Ke8ECq9I8uFPebswk4v+0zRBHOC1WWthsS5s+GA9eAvA6DJ6RHcrqNLYj
PJUAzn0+gwLVfgqyvUc16JhQuMzLfCf/yDqubrMOr6nyPqo+v4u19wETjZpkkp9/vkX9183nH4h1
/+Ok1YA9J/+5tPp/0hkScZ8XX//cpS6v/K1LXfaiC5MFhiz3FcIUIOJ+61Ldv7CZ0COZyNpQ59/3
rfyHwApT2166V59pjO+KRXv9e5dqsbGbVSu2TY+yrGH/EwKrJ/5535UwkX7h0wJwBvW9CLC/E1ij
PFWd7m1346iyfkLVdYALVN5mKuhp5oktbpFU7p1waS7hLfcHb4ZtDIM2JzleX9Os/rKLFipB7mKH
EuT0Zor0tNLcSchsTPbu3Kz+VRbeYy0x2eSxoP0JH4PU7bALkB8vwi7a4CPgmQDAuWHnREQJ3P6I
mdG5Eqa9LlFnzG0aBveuEd0kKUsBGG3RXhrBqiPqZkfFaYjJuJrpVY71mYBWRea547xpw5dq0NtB
mZwTY4peWmB4yeb8vghhUCT4N8mKJDd9ITByGNXHNNFkW8VM8TphM+F4mAeuz2JwLkohrU5Tv8i5
/rIITNyFjOaKynvrAp8wxBINnNzk4s49BnQzp9QwZ5wnCm980Y6kmexg4xrVPYaJ6NawVLRRwTQc
uGs0iBVqQ8MI7gR5yGOPF07Ql5gAVTdRiFG0nMCU0aY7q0mqM0BkIAW41Yu6fEkzlgn2eOyqOX4b
kp6s2XRT420CM2ysLYvcP9VhvMmc4iON9SECSlb41TceqK2YCc0O8WasKVxlWX4EE854aBghWyGz
mrOk/5ksrN8GDyAyl3/tiWKQB4Xp33blc9XN1ypcPAo9CJNMdi9tYi+4GlzkbBZMzGcbHpCIh4pw
FzsbQROY1fCIK2SpEmCQJMVXht11B+BwN5iMyliagZ0m0Wh9+V05UnxPBheQnZGz9StHbi1pnvpU
uqsuy+v93CQpq1DcS1QUryZrJpiaBoeRR3KVqrncDa1PfNDw901Q3RQjZcQkMY1VzoRSHBOoy6ra
fQjYcoAoPLTOttPur7ojQG8bgdjMTqJXhhDgl3pqINvPp11emul71BkEKN3FJJ7i+6gK4e/SFr51
bdVyuVzKbTV62GWjJTAcxe1hjsWrtzCrASzxnEj+fEJI9X1Rmm+Jtohk+dkP30xP2L3uzLin+tf9
wXCKV8vIQhalYBbq4ilZs/Z0tQza+nKsbppE37slULfG87ZamjuVudvaYzsDIYAX5TKfozC6VAAM
CFWDP8oDte5YAhEs4zjDhS8xMpKk6XzBBbgnb7DrZvHTw1P1ZEo/4DbLKeb1wncjz8KGHs1lPH2K
kFqqtjNwVAR+JBwnXU8Hd2Zq6Kce7B3DAG0j8z3rzra56VPCT969zPSyHMnGZ9mlH16JsyJx241I
vXYb4EFOEyiJleFWx6imIzSH8TPHOQawuL1xWPMItBkrWVPcznZ3HwV+uktd45pYA/ESki549Z1T
VGS3A2wbjBLjkomNvkshzgY5fSKheK0E5DaziX8ZU/ThDtUTffxWddNTrct+px0YIdB+14QrmCMH
+xxwyHoam0ep27tC2ftOY6egmTKd/rUj6bImiH0KJjD1i7BcSv9Y9NX72OgS4BRanmXF31YNKGys
vgqq4VU/8N0vCm/eF4hNEAy8VWdMFd1sS7+fFLupayUEg6V2UHmCQVL/NKAmb1RcNTd1b259BTvF
tbOt1xH7nLv0MWR49IzrDi5z+1B71PORC8C8j8/JNGysKb+PiiVkXPo8EOG9VB3WkFLsfRhba+lz
1pcj/IO0l+dsVhubOAL8qek8LStgcgeZym+BcvaOgSddo9R3U36dsU76dFmgwZdaLPc/STuM29i3
WRqYmZAwEotoPsUUqoRIOMzmqxtWTxiWJ1p/FsLaWvUndmTFpEIwGPWmQC+i5BuUBU4sT240vR+h
fMmA2UpsRh6VTvCWOskCYJ9sLO4jdgoaTCn7u4Z1BidLaZzvcREv8OGVjKxXoubvzhje2oNqtm2I
fSEx0zu2IV2F5H30BHaxZPrF9lTzVLXilSWHB8/11TYMBmsfVAU4td45U0q7d3KYcEWRKFJ1Qsin
+ara/MVM2f3itOWe7zSDOAc1KKt39GSUYrN3LkjM1Bl24DB7TBMNAaFLn7JOUnw3715HjJ+A8b0h
reSGEDsZoYYwvpcTuNDzYtyQANStujkmkTxqXW8qIklbO2cYWYUWVl+21IBxpq0tCKHAS7B84FJs
tXqi9zNIt0aveMaBopbhTRDPDcwCZ2+zUTDu20NpEDMGE0NS6iaqIlKs6rHrDJt8a2cuPYQAkIav
JWMeZYA2q4V0ii0r14yloGRDVQvui7OF1sjrm92ADsK729qXWbebLhaXLq2ws3ohQ55xY7QVEhN5
MN3yjllD8+5WbM0ciMBXIexDaHAP6UQAFndin+DIcUkp8la7h3boPsiinpnGsKQRcBKW69YZfOQ8
UqWqm/eewFKBc2v22QXZzCHiEjuysSjxzZ4Oag4enXxi0ut4T4GM76u6PvX047Z2roCusQ9CGV4N
2OzRBm943r8iDweT24SLC9T7UTShxKAvDhXiTpxZ2brUZPqdsLqzbbLiTPzSFYASZ5FSrFViY+rx
G/sungrSwy7BgYbVlILjp2D30EoFGvJ0dS2kvJsNMgFBFr+woSheOXXyHoriWgjEPBX57NzCsN/E
1SZdJnCGn8JP8RcxRT7XQZnQSrcfudt+TimLGJyhuBRJfW8ECWKEBISUbvygAgPKiGLXd/LCAjA+
mGonhvDHWDD/NCUnFWFt/4h68TFjhF/nuuTRM4FNpdyoq4DLjKDVfOnrEhxwnXT7xrHfgga+Y+Vr
elwVvNkWJs2Ugm3PXWcfmgoOZDYB8kskGITFoFeH1v7PNx7/y2ZjAdsSfWjork1P51kU5/9lE3Lz
VcQ/hz9YPP7lT/itGXH+IhhmLuvK7b9is//Wizh/8W3HIbYT0gIwEf/9wMxHgg+Z4Vu++OOCR/8v
NC+BFQjMIQFWEP/PtCIW1pB/Wr37hz98aVV+14oEEXlmUUlqjCIjODgFx27AFwgfl/HOumXNauZ1
sHOCYxEFZwd1cGZZnUqxcsriilJgY5nL2QZGQHMj9fQ9lu2WPVmPxFfXeFy+69y7SZAuuUp6gszV
sZMelC2O61z9qLz0mHdE8ie2r2BvQlVZ6T4+BnFA+h6DWQPExYXkK0jn+PpSsLomgLIPRpONkP2j
KTGUe7mFcJZexpErwqhBrXZF8JRBEYCXA4Yze8iM5qXEsFISIPXLhk0o+evEWGpOL51JpemrQ4jj
kA09C2QywzLfCk2+O7pDLOqTmtWWDgmJJcsfWzp/ibrxKmrQABsXo6RLyCCs7YciJXmYZNCv0edD
uC4wXnZ2gKTVxWdJSsHprmn9biyUOsPt1jKp27U26SeCRLz1Kr5zu5DFPUX6xdphkC9kVEPjqfIx
AON5exU+PnbOcnZFHPg2Qzfv9jMgU9gdp5RdxQW0rCol2tg+kD54NGagQCq9kxRIYjBPNNYk12o2
3yTOFlw4VIF4xW6GnZdELHDkIO0viyCvu1vmaNtZEaZqr3lDiawoAUQOgW3e55QmPSxzO38apmdB
5Z+yGLyQ5rgyugHdCEIwcexqriHwBA8D1lOUzoMceD8kwSs9PHrVdMI4wCYFCI7tbRawfpArvBxf
huo5ZLfw/IpAeEzURx7gIl+YvtDDJjS/unpN+IHAvjFDk2wqWE7uCEYwCLN8tCbbIm0GK3H00UGv
5dh0dLzuKs1x+8ZAGAjGXceb2bhk3b8XRnyeP8UWqneJg5bqXr/7Sf9/cVz+79JpWA7DhlnHAb//
X0k1m589p6RMiz8YCv7w4t8OSOwBAlctexTNYDEOsDvgN7XGQ5KBMo5aw67xRZT5/RFpm0HghYIN
AEGAVe7vag0LBwL4pgI7gY3uboV/5ohkr8A/HJEujjvLgRGI5yEMmdT/8YjsAcpUgcgCkF/pdDXC
Ggxch0hMrKLAtSkFYiigyalo4D87NMOfY01raFQS7LjvpR8gYNO9sFNwV6mH0DFkD27hdLcTz9kp
dwJ/xQR/2TPShW9O75ySuttN1tDyLCbtK7OsdWSzmkh1mKQ8ww23PDJqW4/5v3F3JsuVI9l2/ZVn
GgtpcIejcbMnDW7fkJd9FxMYu0Df95jp3/RhWsjKqsws6T0pB5pU1SgikgwGea/j+Nl7r/2O+Oju
Qh7zBhGyDYfgCYVuwQLdzUVQboCS2Ss4wAeQY29z52LS0wqLDyhEz8Ky5FQ+2Fd4pmXqAKdb3A0j
RQWLyPA4IBNeUWoDtGL0gTjFXGmKac423AjolUKkOMTCgkhaZdEmav36Cgj3SwBPa+WhJhd+zGSI
Lx22IhNdWDxQtlRumH1w6QbiOq2i+0noU5hIGBayu/Q+MN9Mtk8pt3unASBKeW0SNdc1HO2V74gA
oxOYDDutLnM0H0nZYDYwf3hk3FZ9OZ56xyNPFxlHbvMAPluksYk+V5pg2EroObuvuB/kCd1r3MF2
zMuPRIF3Tt0c0DkuyIfrHuiSbbqY1gq5DXncFIbcD4WmCrEE/YRrvMr0Z2wjJomw2U7W/DEH1ndj
aWtTd6ZY7O4/J4siTGNq3u2uv/HT5flkdc9RrfeRKCGxROZVroaz4ylvJc3+R1Hzsqi9R9dsAfoG
wYFoAAdW438OQRycYlHH25zmAi/C6UTybkfE5VxazRHC9l46wXUDKxvldqQVZkzv5ATU0KIjhYRR
A0XT8hW53r7YDNr9KFH9EPThVsQi+AENgSExTb1NYifNNu1NaldbJP+sV9EmVpDBbOgdvW1/zcQN
lmsELfXTusG7vA+DJHj0CkgkZpl9D3aWbLo4AiqfzHeVCiEKdFjM2YiAq0XKRmZNaLwYUe+Sr6EL
vyza1ZYkN2ZEE+hikQ/2GqiJDUg77K/ygbTYJCpwhYHMyA1BdSQWv9Ni/FE2guARi4e1oEC6tyGL
8q33RrBK6UyNcpc+CauR7GaIU93FylhXhXnUiieObdTmIVyA5X6H+FERWOBCrrN1VJo/K37YBTSp
DT6hA6yveKPj8S6SlbmLpzIFBVEToMvM5meaS/yJVjfvJF8n2wumFkqvT0mUnkw8lbKS95MBjYj3
DD3MXDogOGOAZ23RTrWkc9CCIue70S4ew0OeumCZ011r+nCoS+MqcQN2VALaQ2UFWFkQivvgFlgg
qT2SZandfbotpfB+qbdE1vWqJFMJuAnN1hvzjd2QAsMmdW3F9aGgSpf+4xXEDPJN6DZ67p5cK6R/
IpPJeuDSqkqLUrKpNdaEYa1tZgcYIbHWN1vDTk0EdmKTs7AePM3xI0X1OVUAQHoPBm9EmpEKCbJZ
xlJ4sBRAsoqd1qnsJBeYigh0Od8y+C0Q3fRulPZ3ZIpnzhNYo9kzhIqZ7asVn8iol+up4SZG9GYr
FjOgEpijBjogAoOqoSXHFdr+drnQliN48Ep95nLYCZn2+7BaCoJEuq/9IFlpa7gqrOA6LdyfZetf
vDHGN2z31wPVG02lbrUNbzsEWz5Y7kPokfQt5uaJ8DDAzT64JI7/GPMt3cccVmvVsyLJJxo/sigN
djlZc9JXew4Cml1nTMRikrtByM/Jza9sM6z5ZHDVhAxOdhQduhhJGMttsAcneTuE40Ni99+knJ7a
gohvHzafHFt7w8pMqGqDR2tWU2qEpqoEnYnoCN3qI6q6E08Y4PWmANJglV+uhcBq8YVGdoERFYh4
7eh+xevUo+vDd0jEOLvBIGwic1wvHmN97Kiaa30a3bBPwpI8LBW25mSQEaLqy+C8iDFYWM0LT9Qr
bbXflccxmup2Z7N4g1EX8maLQccYqGjg4YOWV5WO4NWmvO0N1h4fYJ+Ro4eZV5mrFPVd5nwgQDs9
t6k2nsyZ0sg0Me27big71mJh7ZzLcknPm3Z4op46eg4SmA35nPNT47L+MRbBbdJMYAz78rPv3Zt8
SYbOaovboIbcVcSXJdTn1R5aqZ0bYEVwkIKReeS197OC57E2B/+TLc+JVyRxu7AmdFETG8HI8UJ1
+3bSLniVcX7z2jbBkNzrg4qMLxYP+9mPf1KD025ExT81H/Ov2IhoiBgJBbVVcDvlEoCMak6jZxyr
rn0KZ/eWLcFxJO++icrkSqr2MPbFUkqsafXL5+f/SnWCnhqcBwzTWIp4739U0YwiYZ4rwyL6walT
dFfJCLNb6h7uv56nVUArzsFzFPBe4W2MmM1G7ZrRpfLq9tMb6UEP0wY0REIQfsiuJrdhOrHVt89D
bY4d8H1zAtA6x3fiCn4L2zVsYuuUB0Dy4DU72Ypo4jqHFumJlJ9mMgEWahIiRhjsT4qAPbb2O5fw
dez2V1QeeYehrT7AoMNA1LDO0A8oku9zn5gDJg/F/WNygn43qlBhmPMaxpW4PVY2VZc1HBB0CSi+
rLrh0LUl7WqDe+pdWKyCbxfo8Oe+C9exD4+6BzTb2dGeQWvTq/QArWsNreXTNOyftYs0bLTjTevg
qvjra45/rbmdx6CACIVl9j/RV9OO5qj/g7i6fNhv47r7C5Ilc7rN/7HuYrH9bVpfVhOKbQbTsrME
SBiU/66t8jFsOkyPidMhKmvxR3/XVt1fJIkX6TJYS+158i85gJlv/2lat5bPBgIJuKcgQeOwVfnj
QqOOk6Cp9AjJG4TdXSzMdD9j2LgFC4P5YniBw3Abtax9LafjoFXZAEethaxmW6xClxrQhfYbibPO
y+Dk2+4jm1aW9GNYbl3Pu4w6pONXwq7NWoSJKWGfabfZk0zlObf7SG9SBASgl+a97xmPQxs9WG2u
XvuIqGlfj+FHIup+XzOrWwHJ+ilPj3llP6qYKtEwrlZVaFrnJNAF2Q9ARW6iKcZJe+/Ork2BE36i
TRANEOYz3ZljdXL7btiIMedfNYUb4aID9HRjOCYCsU+JVVhXb50CMFUGR1HMuyCCXEGanegLlRWS
etcouC6mdOBGjBkxoEpc1BhPumFB2rjT3vPCbSTFaSiJ9q4UeMrXpsKPqHqckVEbJPB8LO7wWVT+
5MKBMAj1y15XgwcQMiHpN1XevJ11dV8N/tU0GI9GX1isLMan3s12dToVm3Zq9unI8mAYTFw4yXDT
q6Kjz9eNbrxpegj09NOlHxpWEOlA0qg6dI4kL/DBuc2JH3i1BlPOQrx1gr0lQXbY9b3rmHdZR9Io
UhQbJkXgAnz1Hju/2cpsjPdVgeOqHR4MJloY2zOzw2Tf53WTXNyIRXjrmxABIo+W1t6jVk4FC18Q
04dvdmqV1NGD2cI6spKxoxC1zO9yPOUeKPdKZ86VlaWLZ2rjMslFEMBtwpItCDTmHEiAKMaHzq1v
TbM5UPdIB+xARsjGiKxb7wk1othVQl1XZf8meHgY/qC24wiSwvBTvQ61FR9hcKY/UovgLj6bT4tf
AjzmCxhqyoWFuw7orVxyw9e8HagcGfjCTV0au3nKrjFu0iLrk6JqZvet9dL3yVLVoUzw6OgyIOZE
KifSOOvGqgmgUILYmqnsrUKHjLVbwf52sa3hL8gx6zVZfCuN5E2W+k0zvpi2B2XIIuFiN1D6xsqg
ygnbtlEAYdcXN5ct9kE28pOsQAgZV8UUBpchiQm0tOSsY0km11YAMmaus4h6waZDsFRQcte9xN0r
QvtZYxVcinUALCs2/K0TXnKdHHTIU7Allj2laPsuT/0JyK9hGa9pHJyHRBsn/upx7Xj5r2Fvnj0G
nn9P5fekkK7Dqb2RTXSZuJmYZvfcmi7vsuExdWDOJrGz2L/LYWWX5U8/DTNQQ2n6HkOr2ihgE/Q6
AT/orft+dF3MChSNCGNAeNTNeDBDqnbCCGXLlf7OC1rQTSJ+G2uSZ1WYdisbqyfZMYPMfVs6t06T
fQLw8a/7vk2vq5D3mMK2z+qMcqFxguQX+DHZXORsUgrGdZsRAQhSat8cmtFJ6syvxeAfmStIX5W7
iZyYTkeJjapBcpo1Xs/wPiwrKjAwh3PPuZi+8aDz+WaIJklLVN3sYWt6a1dwqZ8aKL6iwNQYxjRx
RunzRKbP7nmCq8ilHsqG3sQe5+xb9TFfrpE1tole5he4GHw4C4elVfcU5siMZK8+0eLlrk7GswPU
0Lch1ATOLX3VW0+HP0BUO3vWO3etc4UFYXLsHx2xsgGUXWIsxmS4+0Wp613sYxIY1TEyuA8CAojh
1wEEXAFNuU1CanfMNjnjwQDAOUTn1B8/CiYg14EmF1OtQsNd6XJY9UB/1ez+cEbjvgr9ry6KiAWE
7oXadtBs49cQVXqlRcB00kYfJc+eJY32Zbn5Q9P7kEgjkv1h77iIhFQdMbnuasd9MJT8qEN68TJH
HYjh7oOBxWVE4h6Kg1nj6U7oNf7rk8u/mEDzt9HF+09VmWfKTCFQ/Xnd+PsH/ja8CHaDhGc1qSOP
aL36fdcofuG3mF6UiVqjlGCh+Pv0otCFFJlb+beY0h+nFwunmb18xl9DT+Kv7BqFvewSi3QKinxp
bSUhRa+pRYZb4wxTpvKWP/+DHMMlxbDxA1DIB/k2HPOLAVYjNwAthD7rAzV7Nz3nhmuz8barS0n7
mOekm5jd+6pryDBhU+pGtFhWCM0sjqMSS6bwzu7jl0Hw+EwcoNQRoB3IfCz+QgX7tgFz1ZxEeEG0
3bgo1mbZOCu+7DNms9F7rER6rQlkWCLfNhoawuRf8w95NdJiV+fyCNFkbYA65Jh7t4axg5XTftFV
dTLzYiT+wFquT5JDkZ7C2bOPYqAZhp5fbLmgQdJFCPcoGcDQkF/zEOcy5DwMU/IeAC6evGbT0UjX
Uf3QsyiFdXM0h+RaJ9PaoRTUs4I3G9YeNHng/KG73OwIQoRmej85aeuds7getshy2zgfN2ZQnDK5
rboABw84KkzgqRhuZPmF2wtt3LkdDWrZp4i1YPiFeFQP0zc0wL0n/Gco+8Q5VmUrr5wRr26d3ScR
3y77PqXQXYY/LEgYjqNpzKBCqdv59Z1qr6e+Wnko+47lQFwesJpivhvJ2hr2KXEeCgLW0gO3k3P/
KuCIanmphu4tL+8tEjihiI+AOsCs5ER6W4MpZhrG49jYMdAK+2gwA84FUBMcInCBPzxOq9wHQWLG
7n5cSDwae9OoOjhlOa2BGV5VG3vdXz9w/rWuSv9QKZY7zH98W7r+n/+j7srvf6NkJ/qMyncUvumP
vtQ/fZrfDiC1FCWrP1pJ/359sn5RXJ9clA5gjSZqyO8H0KKQ8D9T2CTzTcTm3w8gXKsm1zqXk8tz
LZI4f+UAksuR+qcDCCFcKU+6jgBNbRIK+fMBlFu2osQ4khtEArYeGcs/KhME4+PC2jCpgZgGwpWk
xkl1R28uDSjHmbEZQHZXYdg2SdCJ8VD7+6b1HtnQAqkkLUPLXuxfOmhSgw9Mjqn1xvPGlQedg/JN
p9kTaWTNMxIZUY34xvfAEp2/zhu6mNU1Fu1IvfpMtLTFED2CWVXCM0xm7kLepm/8nyxdTrEcHm0W
1Apn14bh9ezWzaYs/adCRg+5tCi8JQIdkY43iETrtGF7lxXl2vMfCpYeS2waHN1+nFPrtSJUbZI5
HOddiQZD4Bo2HYh8HOjoCxu5ZLLnxRviENOmDgWV/M0rBuBhpmQvRlCNWDfQxIxmhl1N3FsvuW8z
y1/kr0lwIuFyBsXDGi7caDSQYsmNN3Z/Yt0eAJyaGt73SXWqOIaCydwUmONLjEqs6DjSDeuzmhVH
KuwuHDONzeRI2dFwRWvWFwPaURKLIq25GUm4Gx0oBxLvRZdsLWt4CUzvpsox/ruSTI1FSl4m2cHK
qdok/sqQx461xfKngug5Gp6nkToGR1k3qTA5wxL70rcYUcvZvJ2K+qMJKXWvzNfAfCw1pfMESnSX
w+hGZqjGd+6qa0Xxp19Wez0RyzIC7PcPcOSI69XmOSjv6t7nJpBtMtc7JliTXB08utWlnXOaS8VP
x2fn2oJgmKybob1uk0cXsak6zjOA0CUZ1dXhZlhcNX3GrjYFnEVYIE7S68GbDzGvyoL6isjBxWyz
+UdiD5Lyynece637Y7WQFmrqFhDhLyEwudUYe6esoRCcHr6RRGzhIBOFxmYuGhZ+ER+eGrwe27Ue
nWvROtcL45z9/2ewILYcW97ZBMxkke9nVXxApbuiI/Oim/K+d9UdJMu7IA1dGoqB2g6CXjhg1p66
JofymM7DlScx7Clv3lt2cQbmHRP70A+JYuivQFpR7+1l0076Niy57pyIAL6Bg24yOsccOwQ8ChOJ
hsghbYTnoPKuBxssmHEDYvNetQg94xQL2AHBlUdBZWFEtzmigzMjFSaBfU28XvAq8419TTsm9Vl6
Ml6hiD2JwiG4JZXGY5VlDADyts8e0uyWFScmAKIxkPUd07jX4CxWZpRr2n2biyc6FncE0Wy4kWez
qJ4dGq5adhyR2U/vGaPQtsel9GAPQj9AAEGIryl3NyHeYHMbE2woll9sKIa+1AF2lJLut2aBHnE5
BeSLpKajr8AOnmiOadb/X55sL6SLy++v6P3f/xT8/+9//mXzt18H38XmvX3/0y+2uOLa6a77rqf7
76ZL27/HC5b/8v/1D/+NAZjP8jiV3//tv/xfOADOfzpKr79BTv/xQfbb6pAP+odkL8Bvmajh9q85
Cp5V/whYkGq1iVaQVbMkxqrfn2LuLzZTtPQsoX59vv1Bsl8IATxs4AMoNtDYif7KU8xzzX9+iklW
ndgkcVXxBfK0/fNTLIF1irXcdTYs8M+WY527GSVYusGjj7WwVTUtw+Upt30Gt9x7S12Rb8BBPUJ4
1/iJ0uxULOy2jvJoErPksAFQwcqWBOAws/TlYvR2MDyJEckrNhnV8/QTbO6PaKI0TNTWOZiwSRk+
dLyIKyolysNrNNktmX5/Qx7J3+LKKphAo+emJX7YYAtvh4hLZS6fZ6me46E4agQVVj0+f5kf0WcK
1VX3T5aTvomaYChs1bdMm3eYZZ6GUN4D0RmiCNacix+21MQMa/uSgHJu6GGTdnZTd9UF0sxayBzt
R3v3Rk/rWpOe66jrtxlrlq0/UDpeza9qTtn9oROZZXfMKuAqjfFe1e4lEsmwLZlanSo6AvJYJ3Tj
ouC48srleBwCe6fc8R57xi1btS/PfGNV8e2YzapWmtBdQBFpDfoMHeGp5QeC7SfZLzyHNRG7+9nB
rzm6+7Aur1Qo4b5XyMQlucYhYVIYYYQvyMV7vniBfzuy7zT6EAeZe23NwZHKiMuQtWwQi+hGR+Dh
eojAMauScAiuZD/b8AuHXSyjc+JjxDDpNC5MJOP4HX48Ta8+zTadQa+xmnGN8cLxeGT77RXxV05Z
28caMXnvHWDQ2AkI9Fllu+8gypq5s+UTbAsz+Yp99yObqhPfqH4v0uyrmtIFOnA7Ocaz7Jpzn3gf
VBWeEtrNw7i/NcrxmkeefciH+AEfAXqvyn/mc3rVFnqHEhSugp61iCM7eA/BnUW0fZrGK5rOGIUi
30JGyj90J1HExDanPa9T4lUbgBwNbW8km+l1XPMIbhwQq2XVviZ1/Ow1gMU43C9AXEBKJuo0+8nV
pJamaoelzkAuddYI1WlAhUIv8bXy7v5UBGyAUXqryvXfI7+dQHayj2IXA1agay7Z7KFtBy72bSf2
Nx0SezyqrQ18Lkrq17nW32FIrDqERoNQ3pAtbHpYbhIRKFW8U5xhka/h2/HUhgSTUI8IcGTrqlrd
9DNGi6aXeGmrGwgCdNt2eXdC7rqPNHA6rkIP7Ms3ogeRHanqRxsDUWgc8730mvuuNF4Zj04+tG5Y
MwiuTtQukiEhwPmQzuZaYkX0xL0NfbVI221W6uFHV4V67WNcXDkYdwhCgxuwFgxQGp9A51H6XnTi
OvQxqcRz/pKkiNh+YbKXs3EDu7SGx5gudNY/smI3SLvgCBGY6CzWXLtCOgih6F6Ny/bZDVBjgwy6
6HgTYZ3xBoUqKM5t6cJXzbatywhaJ70DnBWMrCfOltXSgWfv3Hz51pmChESNWYS8pTjL3jyNUoEe
SL0TBSvkC/gnNzL96hMFzXeAdhDXEC+0Lq6dQD40A4vmxPLuHeC3a1rlvsNY/sA1uxk190v4h9XK
xBe9ylLr0AXTK0HRT9x1RH1t8dEO6LSzOTCZjUdWoMR/Bob5vNkMg3WQY/CBhwufCh9SQ/2ZIyLS
JXvD3proUusb+qLb4i4rESQzSSvU3CG1cxWmKJVWBGgD8Y+Wn4k1EHgwDarfs0evyfdpV2xV5ept
FEbimJpouh0EhW1RT/u+cLI7f3HHG7xBDyNoW5UGajVMNu7IiXa3eG/6zjqy0uPA7hSzLVNgeVuX
7gv8iB82NhiZdBtZlnsjFtvZhxTVkHf2mbxFrzeSjfyqsQCcecFCb42HrW+hjEihNoZEQx0snDBt
H59mL723U5gCOaTbarL3/gxWcRL20Z5c4JMW3gVzTc6GCurauLKd/rvmzNdxexu7/oVtwWtuOYDU
Kp4hFpHYK15jauWadLoW3odXURjjtjitcLPIM52hcMyaEi59Q84lFvd9EL8F1fwxDnaA3yl/ygOa
w6yevoQIO6pNM8cD4dWPum4e3CZeWhUgh1qI92tmyhc9hzkQywAjT+YVqz4tXoPav8tj+W5a1QG/
z6eaCn8bGsnZDcgi21PukAEetvlAnn6UCR57oKKbOoL3puN+jSbPtJjqV6mxMw21s5fR9BikwjhV
Fa8KqX+wneO81uy0Hdriyi6/CW2iJjH5bszWJ8ePKI1qbiDMsxbynCMHh79q6H5/SkdFX5gH57wV
tOYVjqXXXII4IBaRx7Icc+GhDssPddj3qQr2KiBwZCY6RG8GutpLYiyt0fN7XflgRTXJw8K+HtOK
qsUZf5Zl9Q9Cx5QOx4dw8nHQdemtO/eHqHGeayqpiFRW5loROF3RIPCOi4VGn5KCtjB0SDZBr0oV
K3h+64puZxufgj6RfcUVnOKdqU1Myk2tydOMOPgk2GDPM+6wkVd4Q/IlkWPSkBMx8M6UKWRF/sGp
OgKzbnmiuirflKLeU63EWshRgFHVR0J/nRP5u7Yi+NMJBZSay2ZY5Z8YX6DY9VVw3Y8k5jujh8hB
I3JYqEeDb7+kUIqsAokdG39HbUCltPLxte29+DJNTrydZ06ZOYfA0HbuQQ7Vg5M0T6JsyrOOzG2h
0m4vovSjjSK4YyQknippfA9j8BpE/fecYVOyeZMCVYrZlYl2DQQOvxQ926NJHQYmRK6UWsCD6xzr
NGBYuURT+OXBsPcKNlth+xbhnQHr3zTrJAvttdOY97PfyC0EC9Z+w6vmsW8ZQDYdtWuoAbBcE8dh
cORp9VI3FZUYZF6GHqsBC0ATho/BkLoC67mCR7YoXpx9RWJ9NUJ+Z+1wTEbr1hzGq2SRtRJKkzLH
vBIM5yBwLunCkEczFp5zZ/bW6+CoG3Dm73xTL8FCRhxprIOmH2Jv0EPy0dGc1xgWwFO+G31+0yfz
dTsU7/hSHn2QCLQc3dc9pY1tRO6qGpiIPHYYmXrI3e7MSbV1jcI9zmImx9f6k7vvspwcj1kN53AY
Tr2vxLaW5k73hNSypLyx63CXR8mjMlk9KoMmW1W/QWkNtipxHlMtTs5U3lS4Rsv0qYpKYqkffZqk
W14P57gU39ol+2TyAu/FRao83ZgjDtPCvmPBhXMEvgFaGVFg2T8MQ/xI6UIAHgXNEavslTXLzz6z
wm0SsGgSNooN/Dr8BO4DG1aofqSd2jDUuK3k85hMqySqljv9Y+nWZAstkeEjhWGTdP28s7IC5Qw5
au55L9fdA1B3emJse5eESC1LJFTgaheeewzpfm08KJGNae8NV17XvjxWdbg1mSTo+zrZKn10nVCR
+w2JxNanRoXnKoQ3N9T9No79c9+rs2HzYOOavBvG+NoICtbm0QpQ+qZYmJguKS4FvDK2yGUHgSTl
XDN9F0+Q9bYOFWt1NBxKi3sGAgXcLfr+ymDYhbht8CdF24TxpnT9Uxukd4aMwAfYJpzC5FWG9cGm
70nQCWp5wxZgDVyOKV57vX3hYngqY5JYXtYtLtoJY3wcbtklDsdeO8fGJcicAfuqR1j2Sc0ualAV
pk+Xf37Y1Wo3OVxYHMl/RgXaWrlWvydRqo4ey+YVSkXMRodGzxDY19bgvUsuZKmQNr2H1PHlMiVS
qZcW0JR8+y5lzMKW4GP+FISUuccvPAZTVfplLjoeskSpNK2wte3QGTwqmmO9bt0L/Q2Ef+OI1L5p
4m4PbQ61YrCvmoZ+yqxBOjUsubELExW7hZth4tjVcXOLb/MnpleuVqnbXYZZhHu/4vvvK4u0W3tm
rX83O6beYDA7CvhqogoTUCUeBXPeS55n3aptl0GHdHgsrYNIQojpTf7hd9XTlGTWhgNjZ4z6fppx
NkriJ86Q3Jlz0RMyz6KtdOernknclhOc9Nkszq7Ebawsn6xM+Y1nRG6y0XK3Q2YSj+kfAZdxNDf3
5Cnu3dr/zhYijSXTdjeZyVkONCa08QFiGPVjZgo4NfFX0I1JgPDUoz26AwEtvLWhy/YUeiVCdFX9
nIL+RojpLoSpQb/aSDWBJkRdB9bHX9+L/EtKjMsm4T/e96/e0z763/ciywf9thdxf2EPD/DBQ8Jj
uS7YfvzDHOXZNMETBHOWdIKJn+p3eZFXjyL7YCqlJSLkH7f7LgxTSM3sTBbb1F8CTyjnn6MMOF+E
RSzCcUEMs2UhwPFHedFVZtdFhYRhVEQvA61a9szNfJo7Wl21vMtMHx6Bh+O4LpIfmhA8yYgfHIYH
t0/2itvtuumjC8Sp7qB19tUk9JDSpPRO669aw2d4iDhB1nVnnOtZsGtpH205ZIfe5UyOnHw+DCy1
46pIf7gRdqrUEVxB+qeuM69K/IDWIHzi0vKBFlLizdEpACm34B1YNPtXRkJVT6ZmuAk+vxsLmlbA
rZUdDxirBMReCLE1cp6GS96/L51HzKY3vHtpqSyijVH1z4GhQh7HKZHOsf5pzMFpFPV5roaXiIpP
X4V3tZthSxmbI8XrRzdpa1Y36XpgSZ/bKX5IdqNhxUqS+gBKbsNXcF0pRbbTsGPyfoGeIOgqHTA+
ThhfSjN7g6GodtVYHVrhiUOVip4rT1jtXe6OxwpUByUvDL2embpLDI5O5Xlu1k47nA2xNLgIygeY
On5KvkkfaVkPe+kDY4DBAdsycqr6G9makpXGfrCCTryoHKdM5vTzlkT8T1fZ/RIJPRY0mqykC8or
gPuIez19S8vs2S1Ha2OSZRsDQuRWXu5Fpx+GbLgVAUi72oHdHzQcj27Qa4B0dOq60TVZY3ttRMNN
1ZkTKKiE8AA/m1gex4xTV7isQmbwaGMm3qMGCTqq+LbTDKNVmIPY48Hh8EpE8PWILjjth8Vz20u7
F521j1VP4K8KiW+EDt/oeWLtHOJMoXWkfcP7+lSYOJUdC0BmI910DxCo2hc6sfHxBhc/Ttd2j3kp
LxhMSyi+pWfM65y8Lv3tgPOF9WIi4DiN/RqozNsYNhedeB6/27C7ArTwxWMEGnQ235ZTsmxVWqRT
e6AUWTvc7vR3b8yEHwtNbQopnLZEeZ/47dyLcGtV+8RIGPIxyhH9vKVammegnsp3JJBo74vmmsbY
a7rl9lI2yaodWUVkKaG3Wpkw4LhjAo6huMqwjoMRlj9JCgQ49SqsikEprk38e9LzAcxT/ujlbxJe
irsY/VxnvgptaiSihTpczultjk1pk+IPBCgCSlAasBJs8he6FJdksRNaS41e72ECgJ/Lfd+zqD0I
sgaoCSVPFnbEOLYe08WfqDAqElE6pYtzcVg8jN3iZkQysF57DI6d0I9hNN3TTJrsKMfEBNmN5lmn
yRMFgigRUSb3M/0FlABrvc7x1TDsUeK3OCslAPFSBUjymC4tzJfx4sI02Bavtd1sm8WhSQsntRJe
E1IZh5XTb19SiAzm4uvMKVTb03lX3tEbRVAodMUm4qhakhpo8KazCYb4joLwX4lRt5MAWz2K1n3n
H/SjxN45QurGUM5AA138VPfBKQRf9ljnFrq/Nd9M43wbW21N9eevc51f015Xe/Z145T1waMemnxG
lS5sm6fYct9KuaAN5uMohwcZNNezrPeW7901OLZX2stuuym/UQnSXVimt3No4ejPjkob66BqsH8m
HbNY9uZPTBKN3d2h9d0xhmB5oNi2bTk9yMYmCsNlXXx05gx1PP2KAmvPWHp0HHKX1rSe8uQVvlW1
snuisHmweKJuimam96Y4GeN4HenwDI9grYf6zAnH+4X8gMr8pzwp+QrHn/NogW6zTlNul5jeJ+oZ
qgLfNpu1ALLGKmzlgwI5w8o39cjGBl/2rMGIJfHHWA+3VWJ825JOwcijf1ZctO8AtTaPQ939kIEP
uzRzjh0ek61ygs+pzB/dhq3NMtH3Lub3fMo+Aw7ATTmxlZocERP1sXwIFq466G4gJyzKy2SDP/DD
G2NmxPeWCo8Zn35dVjboPl5bJJuRdrvPyvdfiqrbFHFzZbdgRfIlak9fSscJI7xoT2pqj2nyWVXO
qbbMS2Jnz0XK4kUS/HH1ph/7h1RSnjU06dalIVAFBCNsB4huvklqoHC0sVAIwcJlNcekYlVVsGmi
Co1XYxGc47g70SpMz0Sg0Kfdp2Fojiwo8tUsQPJWJFezCTdMPLaXSFI65tUTxjubC8Mqyuqfwfl+
zNj/gOx8zTLBHxfeJo+UvsOq7K9j+lR3duKmPzPclGXFcy20iQJV+eP/Yu88lixH0uz8KjTukQbt
wIKbq3Xc0GIDi8jMgIY7tHgAvhnfix+yVFZN94wVF2NDsjdtXRUWFepeh//nP+c7DcV/BmHCJQKN
s4nmR0XHC5H0UL6INOeU6qRpCn4tng9ftvBGto9WfO5K+imSEBngXzfHH776GWr9z2+O/zgM+8ta
bf7M39dq+IDI9vtYPBgBZw/a79dHG1CAizGEBZnx4yO/XR+BnTkOCG3WbYJP/7kYgvwsYhbeEHvO
1/5Nbz2uqL+s1UjCOg7PLQM6GmC1eYn48/Xxj/CKhI+ovPKsCo2eh3IVGOnGifFI1VDzc20b15cC
B2hM26frtasyhqOvLjSGoYix4cnv7BAmhrkc7FcTC4INCyrccVkQLKqmgftgtCTC+FTMaZDJH9ZE
Rg6Fyr5aeUQ2iX3EVDxSOoXRzHJWgfMycXrqE6V9dn3v2qpbR5QpTDV8Kt7LDjyjmHIBzHFAmJup
k2sHA7JFRsUzMed6VkU1owiLx8CzvE1e850LcYEsu/V8bU8iFh1X/z7E9tpW6tDpCSGA5Jwn2XNN
RtenEI9iAzR5eCoxGFYDcRNbHoEZSaFPb2YnIvxE7Ts02mIO1VAH+xw2zbMOIWvNqokxVeM69VIV
d1Zizcs7z+DnBuSzbJW0ZkP2cye/TalFbW8mmc61CGbybZe4S4mgAtwIOUGf9DUMR2pwZbnRSf1o
pH+GsDqJyF5PcySod1MQ5tVrbmWsldD69c84yGhFNXckKd5qO4NnEu/zwuhZ6IeU1JSo5lV3mQIi
xmk3wF2TsF2wjsB4keLMDuECS2NFdtsC8lIRUsqT28ov7/0gpk4LbExQ30GmQr83e3oH2FF0zWEY
xAHh7mTRqa1IPbWkn/r03XM+GowavpMv20neAOzktHw3ASP8f+9X+9Xm+h8Mr22dvv/b6dX7Y3p1
vvB+mQdYnxc6b2+yM78ePzBMTGgjHthEimF+vPN/O37cLyQY5gg+tEW+D4Akv0d73C/YQQAtcqIx
3P5NuL8zR/r/5E3jEBP0CDgWCR/gjTbf3s/Hj5KFy2HXkbMeAFSpEYScBVP7ZHh+/FmrweYmnkP4
0mPGgmbMZ8PPlOyUk5jLyKjso6RhYtNREbDV9VSjvcUMjpYZBNdJ6ITPx4kSqjgssmfhSOL4vMNZ
MI7mKaVuqsL1wu4/FhTD2DKvNvrgVLxXwnSrCsz7VeB/jlUIFTUtTdY8fO4Uu89UDh+aivrhiDNN
zLOGSTvwoimMV1p9+Vcwr0D5Ui9sqOEIox7OY8cGmsOiJLjcPE2ZcG+KwsH7GpHbB1acLwYPsL5w
nY8uDy8RUOG40Q4OT5ZlEbL9lgFaMebPO/bZ2zievrFh3nU5xX1eYhIT7OmB7qJdacS7geoMDu4j
Yvuzn3nYswbrRU7uq17h/gM/T3UllJF6yEFr1Qd2Aw8ZX3AB+XGr2cEzUp21gDhtrKOq4BYVv6a5
/1Jhpcr18EpyiJ9X+WdRivdSMNcKlSuyi6QQgpyShAmcXwRXKTdyrlnOGyudlYzjN9N0XxN4tAEM
q2aGWdGMdNYA3eIUMM9Cr4vFMKOvuJLqi2zGYUUzGKuZdBBZU2mjH/8gZ+kzRAuFpdwlP8ha7D4s
/q563S911zw5MRhnkqHutdHM+hgzAUWB9pQPebChFJGG2DG6aaNhU5qJzxW9EuuEF+E+mmjw4q+R
UqY5LxaghkD2tkJ+Y+0212W0Hc0m3Gia2thjtZkSztExZLmE9nNoyuLN6MZTacF0CHWXAbpQgJT9
+ORV5DaCTAMaOEIHlfn0wWRzMyCg0t/ISsPP3nk2fqX2FEk+C44oSjddRd5A6f0tgwkXZXMfmCgW
w8glzxnCY0zqJXbCZQPcMoNI1pFca019rlN5KmrzRsiGVxyQmtFeJX1/Esz/wgtxCjr2M8iEdy+o
XJJppKDqKNDpcIUHXLDkvSGfT2NOM/CSUFPO1iAHdl/lpX8eaxd48qRsdxH3ffmC04sRvaymaEGR
ef00dBMUfyXe4MHRFafzCAxDfTk63V56EHccVi4M6wB5lLZIh3wXhEBmujHDImBXa1fFt3RAi03K
bdvK6Cc1QcrRBLcJOcWWDUj8EncqixmJ8aHc0WFDhB8umUngqvDMB6fmSeoZBsTVkWJ2HOKxTVJO
G/Bp5+KZXuqB2qriSmqeYdWg367tlrGTPjpleKTk/G4gV1Ohj0RWfJenR+5NXwkI94uqELtEjPf0
sD9WlVauhB2xNOm5fARcV3RvuAc5jQfVa5NTr6FlyCZaVnRnLlskZNaBuOdZi0MGNCtUCGVdDEad
0OSA8aZy01bUMZthh/IVvKSa9h4YCVQfJ/FJw0Az7GmEhItC1+TUQMzsjkbXjusRg4L0873njJhA
auhkaOI3Wp4+GuC8y5DfwyDCTxK6W7Ppzp4S1MsW3cmqugdfBsem9NYjSfCFW+acmpX/oGOpcYz0
kXfjhpsp1grJfKU+hZfuwrb7avtzmUl+7rkyJAaFWHb5HDLDUqR7j9N/hqueh6bZyd46+9l4MAqg
eUChdtj4ea1R+q1zJ6vYChdTeme2YutPJOpkGUZclqR7P7SolTENB2HyXumBjn9Ux12EA8kxhms8
+OeI7me2xx5dYJhrKJL0HvFt7MOco9bJtIup5fuJQOEgu61Iom0LIo+FA3dLFLselYwERef1aBNJ
dguQ1UJIgq7Adpgwk4tIyB6W89Yez2EDcaKhQszM+33ojgQHnXIdsZcNeWlWfvSgWRK+QHZfBS13
w/Zx9JIPUSavfcbm0KCAEiSTXNFHcY2x6cSddmtTF1iJ7/HQgrZKbjIHHGjI7jrKXmMw3nEEdaY0
mdr1rGRsf3a5LOUQAppAXKpaHkY3uAShAoGYEUagf2sAYC9H48RaAuS4B/Seh2VtmQvpQ2dQ9nDs
Bky9oeNfpfCeAl6lB8tsIX8AHeYB37O15ypXkahv2cF1+QFHRnsYKvFuiQTMVdBsYg/HLznAVZTH
N4bfv5aFccEz76wsHVvc6IdrUAXjOgVASH1XF11UnR/1CS+bsI2HFFkG4vdwizP7anSYTJoiOlvQ
MvhDJN9TcAgLilk/JPvfyStfGg21WvO91zCKymXi5S8MxSQ+B3zcFLXufcTWC6kZ0nqDU++Rsg+J
X5wlJ4PRjvti/nnZ8XM+p/kbsIZu2RWRuUfVOda5vgqayL1mHlHENDT3oZGd/NDfCgWoEs9qyJFB
ZUBjA7OlHaLhPSr2vZdtwH9ydgZWfRCR1lGxYB+ChsW2W9RvbleEBFGAKDiNPKMx0OXYZ9QKm+Yi
IfGzEEl/Qgn0YnyA1LMGGfulFkAGpzZP0rLNz6GaPusqo/XGhXUe2fP8Egf3QRqeY2pQPpOWqKtG
+TeyInxnqk86HjkyMD6i0nQPAxZsa+Ewvy06QU1y2+TawXTFLe4y+LwNKXyZnv818v8Y+ef1yj8f
+c/v32TxD+7b82f9Pu5jW3AZpNnUYJ7z/sCUO19sAYF8voSzpvEcrrq/3bfFF27ZaE6oAL8GPn66
bxOs9U1BKv/HXfxvsQH5Fv5y3yZKbzj812xkB77YX+/bRTJ6nCVEJDHbwtyGOfdVs+E3JMZRL9JH
6v0euVXRPj0OL6GhsZCnl1pO0wW28bW26M8WmGYf7ZT7mKPGs2kUtImU4Dq5VzAxUlKS7S07xwZT
sQaPerEPBxlsBx2/m54oRCycEUUgY6TK8JFXrsmNLz1FNplVGeguIRAR7Hotvcim3/JrYweb0Cyr
EdPkyIYGOJK097MZycMbZRDZq1Ukz1GV3FkK5C00Zf8gKapEDhtFQg+Uu9VDqMpD6H7FixVAZhK4
YwlTd0F9IwvvXg7OXUmehKKNjGdnxNjxbA8u9QVtYj1h0XRXSPjRMqxHHzG6g1JXl9mqBSVq5N4u
hHbsIh+S+1pHJsdCZQ73vASov0HFRnD0YvVUzqIFQiRd60+xaLYmAqXbqrn4m+sx0qWLhFkgZYay
W8VV9KKQOFmR3+P3wdwwq586Mqg/66Eo14TqkUjHAHMCkqmypnI2aNo7iAcB5FaUVT9nFx/NaqtE
du1n/VXNSmzRgT3u1EPfJV8DVY3rANHWpEMJJG3/RpXUAZ71U9m6d6WbnarUu5SV931E/o1nv58A
cR1K62WYFWI5WdPSL/R7Syu+psqGxhdVHM8mue9eu2hzcZBWe1vup/FtVqdi01U4GOhEDtaYK6uV
aVBXT5vEM897MuUGXps2pP3R39J6vPaKHDsE3oilljXcCi1Y7551ab3qWXUNZZQNIPE60O9cu0z3
fGd4lFs3u2Oz5B8mVkx5TdIyHLDkhJ58bYIH3YeVgNXuJL30eQbuYAAK78bUlI92VJLmTk5Dosq1
Ew4ZdGSDPZqNca6pICY2tXNqSswQDTflHazqac+lql3VuvjGBd5ZitK46pK5JSt0OJLTruXKqXOV
LIriZoxgK8vKH89+ObEQTTFOYv+65qU6EAjnL8U304uRSVePIbqXFrF6o1t0CQBeCEWsUGojWhFh
ZmsEtSvv0xsKvFZuqK+DYFrDctzZCOZspWlrV6vG4RlHo2WLmc3rWixgvYcAPy3jNrlr6vaREDqe
r5y5DPTwQcfvPuDuWeJGuWZx/55qFIhWcf0SdchxGo1eBFKnE/6EhqUK7WlMjoldvoMSuCiAmLwe
QXz75r2E85Q59dHtsi0NYRu7Mp8pC7rWSOnsvFjGsJN0qd2xA/humuQWH92OIwU4unHFV+SwkQye
0AS2fdTtYy2/+MZdy30jx8xrYOql6guSELZXbfb8trMrBRNwiRm4wRTczu7gsZBv0QB42sU43CX6
fTQ7iQ1nulS6GR6d2WXsJfKmCBQVPNTweLMTGeTb2jPrjZo9yubsVhazbzmfbbhRk+Flxpa0xdg1
V9GW4KF9RrBCOO+uKV9s7lYFF8oGc7STB9zdRQ79qUHfl3p5kSmUgdqDCxrN/upSeu96BPwNlPLK
xoItHIZvxxm+CqmxR+mzLZYDODp4TThm4IJy5YhnU3eDuzulOowhKHmCOfXijaVYW4Be6cXF5GPG
Wbtym2JtC4z4knKcKR6XLNfvRpVeBm0gEx9pGqN2f07i7KRjPvdnF7pNLc44+9JF0r5idPqOxIih
sTa+xY4f4jHqgJHy2sDgbrBj7zG856I8jh3FEBo8bwzxqku+mbNDHnrdgU6FD4V1vnP7tY8Juhva
XWEqfWvRcLXssNuHyTCtqDU6BX7+oet6c7IMrMrgFGSCmAxdP8C7X6VzXBE3v4er35mcVYbLX5Pp
sWRKp+OVxBk5AIjUG0ELeTAHBFjL3vRE2daC7EASxXufLEFEZfdJpzvntpyDBsigd0BdqI3yGrnM
eiaTOZbgzAGFmKSCKFwmhwJgHbOKSZShINPAPIfndWwea9IOYUTsoZ4DEGgXCzGV77n53PgZI7rn
XG27u+sITriML9YYhlzrkqfaHb+1k3kf16T41EgMzWfEcPTg4PPwIJbQvvqkJ2dHsHnKR34DdWvv
zTT+tEQINq+9JmHzXqXDKbFMAHdVuYgzZ8+BCACRaLLePVdYTfc2xvu0NXHOetG215wjWk/JhDMN
d0NVPtgygKJW72ydSltgnJ+UO9IaLO1hgdME9EgK7svsLPjWCGPuMHzTbO04Vj7lVniWydRQWvwg
vWEr2/K+xZG9cNpoL+r4HEjv1hMcN7qon2U/O1L1dB1E1YdsPcoWpHWNE/NltCcyLfVTT7pyHL6r
bHrRArXDKP59rNHVlRVdgA4T4Bmyg2q8Yy8bg0McaZ76BZrEclbDrfNsNvVNMBP9Q9D++cz4Bwwy
rIaZ+88uHYZV39ylKUOVMbcDKG+8nQF1W3yupE4JBC60vviOuLPKNBKu/dw1kFI6kFE+0NcT0zF1
BC21BLoCDDbNRQVttEpFdHISY2sM6joM5b0tC7HqqdTuYd91Fr0HfdJQJzjpDxaVCKGpHgIqErBK
AgAraX0z7F2o0aLQTrBzsukbNsKG3WfAxpF7j9k7RxXTwWA4lWDLH+EFjpJNZ7W3TVpc1ICFZJLB
xe2HXTJ3OoA++ebPLQ/gOIu94Am20OL4tXJo3MAI/Uo9kkn3Z/wBeJGH9twc4fXWbTJ3SYzCA9mY
brnOUk3AFnQNVLGgimHkW+ThHFBKYeMxFHNLRUNdhT33Vkxzg4Vm1CAMkjBd2XPHRUXZBZGYTUr5
hRmFz+PchhFQiwFcCJmkSz9TvV2OTX7ow+qtHJsPrAJc4OjUqOdyjUqkTyHR9mVN70ZH/wast7U1
F3IomjnYHlDRwZ+e+kludigsyVzjAY/fXyZY18u54sPzq7uOzo84jo4FIfnG51flZiRbssTBz4hl
vIzUY8RNUGUos8S9lvZQqS3Gff1V+Si5Y5ccx8EN13X8PDJHJkbLi2c+6Zm6VrJ1Nwh2404NuFwM
jLg8VwOfv2icc9XjF9e3+nfPsR60hpABy3nt1q1JLBNR8hepFyDrOqHFG4LsfxZrGUeep7PmyUee
XjRT4kPl1J6IbqGCNKt0bPkKlo/fh53bzkKMiHOw1R78oWNhI2dYaaR2mMavYxQAkZ/0ckW79Qd+
l+j/YMv78A+bkf+vLadygViZ/xEYvq3y9+zPM98fn/fr0Gd9YbvLfsWxXeEQXfppx8IOl9wkmxIM
fzrL1T9GPpYoPMP92R04r4t/Y6fNsUn6C4Qw3F+4an8nNklI4q8DH+F/vpCtg00zsSrOH/+JPoJZ
vw00+i1WLZhQ9odA/OroOjiw390jZVGnvCIRHAL5SSaXiYe4ERYBGLVkkAvCyAahZKCpPPca+zCn
/EKzCKFS9k8JMHM7SvVtqhs30HRPvB0eesM9WyE+lMI6taShtZRYNAjm28R3b4euuktEeAOg8VTU
1YfZy21T6oeSDLVGEn3JA/vr0GevFC6eVeWdHR6BEcnsjIS2Pke10V9WIWSjxuYaKqZNPkCAx/w7
rzROLisKtrfakns5j2fc6YjFrWXfTTDXqmpc+XNOnHxjRG68YC1ZzEVT0thpIj+jruJdM9cVykyf
wzeBD4GE2t1YrYSC0u47g8jgQz+e+865mciuu0B7Mex/0gS5QBSzaGytLbXMhEedMpY4EvC9Thmx
cZQRCC44TJyoKxXz+8RTZttEXMjRu/G7N8fqoyLHjWlwJTCX2vRA3BYxmDW713yAI71WgYPsKlrn
olIM7qZzU+b4KJP+CSjBtaqiU07EHaeUdyLE+0SB1cYsR/pCByT1uNn6RfZN+vZNm/Vf+yg9amXj
HrmFp6HamfAOFp7rGLewScJ35ZZvQW4QHvQlAc2pqq0Ho0AdNVVArj6mk9YV8nasC4/sbOPsqxwr
qKhb59RZZNJaoe3o5lbM7AMPvIbzbRQv40T61fMxQGHP3CYeRoFMFJsBY9FD3pv6Z9FKOgwdOTv8
QClTpWXUdIyF/BnohCL6QCWiDtRrGDb+QE9I2G4ATMzTTomvFK+4jHbtj6B77bhnTLAUlhCC7/30
6s0hFMLxOWfk27+EsF+EMPLV/1wI27bZx/d/yJTk0349FBG1bJyNPqFy00H2+uNUdL+AY9KpwiBr
Pjde/OlYtCEouQBTTFjwP6LmPx2MUExcDygxOS+2g3/nYISB8teDkS/ACWvpwjUwYlt/8U0nrguz
p0Zuzt1gXGU2Lkkn7UJcC6SGjUJkZ6exDi1nyM7s0K2UdcjkbaCjTbjVsKq6iCavcZ1ZWvysO8Gw
Ni1IZgntH0fNGrBjz7H0JAh2HnAUc/TCq0kN5TAdIIpNB0/kHG2GPhHgKd713sjWY1GR1ambx5h8
8C6gYLLN5c7r+2LFzkJtJa4ZUn27jovtY1aG46PWLoKh2SYp1V2i7m/ICkVbG/TKo2YSdjG96eQw
Yq9GZJvlxBIVw0dmn9wYCUsvx7uqssVZRHF9NeWTnew1Zct39noZBqCUnJ6WIEeb3WOdNQ2CDYko
gIaJZY0XmiSsbc62CgQbwamwXgZ54W8D/w6xazoQ+IWOn9Y1m2ByDDAoibeV5av0kdZHQz6WBZXD
oogvDeDBQ17wtg7jpd9U4abutE8f2+s9kOd23Ta44IJmlSOIlINv7IADuovJZuEkDS7K1HKPTaUd
vbJWpzKfzcUdyH4aQmgObJ2PLOm5uLPqX1l+0G9SgzWza7CrhmztHb2aFJ5SwDBpKn9rmzo+AQeE
vq28Tw7kvS77dpu4Fv5L0W/ZY96zPj+PqQPoETM+Ba7GQpU0rco6TTcepstdaOJ37wO2zeiY4zKk
qDVPBIV3sJBxSPs3eavRMF6N0ZsC5s2y51E6RIgU4E0XJRWDNeafMAke/YS8a9GgKeg51mKUfcvu
73H32sRPYxQyKuVE+hLQ0LIzmZZYTBr4lDTkLnK7A4yTC1tCVmUKiKGdwSZVCilNwwWM2xMWNa8C
wmYQagaqGse2OqmgELdJnl1IGzo7YzIPqQlQB8j/XHCnr0kRguF2er4c8lvXaPFFpAajoUzHtQX4
EXAhjTOpA1oBX0mxoQOJeKyh62enHeJj1yNUzf802On3KA++Zk1A6aQBGXL0PruiJRWvheC2efLS
0FbrPC0KxKS1JHlg5QfHbJ2Vrago9tvgzVa8bIL9YAhogjab2UMHgebw4//9+J8gYZbOvbbZWJVt
7zJNLtrpmg3ODbuj+D4w0Uv0XvFaKN2vQ4ABKrZwcYd5ee+kpn6J8uHN1VO21KEzLpKIRLIfdJI8
Vmld6kTSHky11DQ7vyXVAvA/iXPyHpUdce2hrfV7qiKuLjHURdoMztKZ3HE/NO7TBDFwqQ3ebTXW
9XZwYmuDGdXdhHo9LCL7OCUmgJ0uM1dF6dkbId1pg3d0ZTSldyiLtIA5DwTB0yLjMOWOfggbGhaj
sKcKZ4whOeJ6WTYmMYJJxDRfzzQHBWzGr24i8v9HF7PJBifLsIjfO5xApylEjOCFufc8RfGiOc//
pB2wZ/Nkl6KsYAy11r1oxrWbhDheYdt7rescCeEpz4XLQHekSThzJa2CeqyIpula9gNINAipboO1
pTXzdCvdqn+BB9FN7qcdDtYWZq3cNA1DT2X4wP5Ti8KYyqYxjqO1iuOjlgmagjJwOqn+8Z/76P7T
2PNPk1N/osf818DF/I4w8/79Zzxe8/h//c8/jT5/+tRfn/PmlxlWxgwsdN80f+y1fnWY6fNYZHC7
xyYGvdn7Cb/IlCMcAY/MnSGMfxmAdGyyrk44FG+q8P4WfhGn7V+e81ALCWkBj/G4irBLmw2wPw1A
oh4JcSUwCwhTp0+slDULeH6x81qW+UHLe6BkjUCcaIsDfZ0ongidjs5ApnZhItwpD1NOreU7oleL
iSpHPA0fHSp6WIUrjx5oNjjrkGBBA8i115IDdlDKSeIJNkvHQ9teoTmDz7cffRWv80AdRl3cx8I/
G8p4ELHOTTiwHg1TbBsNYHsU4CwPX1sv2phJdtULbVt7OGKHOXqLTyzXoC9INk9vdWEfMcORZi1P
WOw2LIupfinXbdATNUhOmj/t8pgKXeLdV7fVvgPup1qus+aSDuLW1oL6mM8gUSSay3UYwcD3vHVS
+euySh8bn+KNQRy10eJHIsCdVGdAV6/k7W9SJZ+MZHxhg8G+AgWefo++UXed7HHyZaP3UJM3Huda
rnHot3lC7ZhPHYZMd87YIAuN/o3dmNOiDAZoJbUlXgI05w1lzf0acZH4bqs9Kq2C0KJhS0m8F4J0
07oLqAhJRnrnLS1zXpoQhprh3ZejdhcFYldZ7jELs2MUBedeVtlCOo9RMZ6rLNkO5KjMNttVtlzZ
5WAuLaPJV51n7k2rXWcccZWSh6mrTlGFMZkoUJD1lxTbHjeYdTW08dKu3EvU2mePgkgvzi6ylrtI
5JdOpyvND/Lvek0TljYtRCYp7ZnDW9GOgsW9WwQvpV0+RIyV8SjPPK0RmejBSFLITw0OCrTHiEWN
jK6N5WzdOiHFXiCOQ8ME1FeY3W0gSdp0WEQc4q7k1u67Tov2DXFlZ0TtwhhjYTJfRD2rv7o6e31M
aSdtHgvLrJ77MjmmLYPUxCusUYJH7FCgzWohRTF9d297bKFoFADhEi/5b0L4IlflFbl/BfE/x/ih
mGTm/aRv5KDeiZuVOJgV3UP9wI8ktbe26s9pNt7k803YcyP1psritSn9E/EgUgc2i2CjFWB+dWdv
Qte8TlV2qBk9l7njHB2bqHQ51DVKXfxYMEYizFvf0lKRrnfPpsaaucJZuMx0FLFwrHiYESnnUmt9
ZuO0q10CMpWBmUK6jbMk8vHC62vTpdY9FI9oUyONLKJRnbS6WmuhEa8IPa4cLStXUPMUhrRkuDDG
flUWPfW9Od3WcsCV1kERrxX2oKloLilbggIpZOnXRbIsffsNWtHeTcuHIDLWAzWy6LikfZo0xQ02
EnqivFRFN2Zrr0L+rBb9OpT7gnIiHxcsilbzln1tG8swnQtvIUweJ802cKlQoSzxaHsZfz8EjeQu
J3/3Agh25oqBJaoSmmBpcGBy6dYsYcvFVDafEN43/NRHAeF5hQMU7HdBbKXuw20QhZ/stV88uAi6
7mD9CledS+l9memnNnJPgyluRDBcULmWPt2mldneGrK92Lb2OZXeY2zOTiXH+Bp47WcDmy4EhQwK
Rh6HRnu3wP3QgMqyBcQ6AICbjqsh/nQD3R1+oYLhl9XttnRAEeZELIn5VxuXtoopY4nQTysr5e7i
D9qOICGwuKy5iqEjbGDY5HyGO73OyIRnE1U04bYbmxfO2yMX0WQ1KvxfKqLMyk/Pk+YeFRo5IRjz
vVHV4xCqG21s1iZY6y4fz65k36JoZwL9vK6KTF9OipdAPcm11Gzo/MaHFrd3TWDtWL/wqqEfxVAf
6ZyuMWxyd4JOPQcSrt9py6gpbowwudNsh0APu6t14hjPucnLqUB2gTQ2cUBWRNp411p1+oSVaS4d
b795joJz13KKIEQJGb1qmnkoBo+9Fl6voYiepBHXiygMxKJwkLzgDn0jE7QZ3OTEmv3Fclp/mwTa
u7T6Vzoargnb1CV7vNc6y8tNABaDC1VKYC6T18FTr+wWPsOJHKUSuTxbteQxxlWWE5mJK3Ctb3aS
HnESY+aISZD1/oSNEVKYRf14R61OZMrbavDvg87Z+U5y31HYYnDhxGWW8T6Kkhuj11+UXcu10cmD
2bsQhsOXys47VESgC6N9QwHLCgzbkZkcW4mKqL7qUeykXgxY+KhWNJ1tKDjTwvbOnkoSlYqlfnTX
43jWInnKInuT2bQgOOIwjiQICiJz27xu3420W8PxxnUb5E9YSljJzXaRsJ8uuTsewjY4hPn4TJIi
fnJy/2vbSMlD0WS2Q4sKczJtvAzoSaG7uiKx6hUH251YPs82WtysUwGs1ODx1he7yTPWXi5vPEKK
S8igrAzKwFqZg+SNO8i7UjhrvxA5FOIAhBxJYmVoL63oli5WgyEG5S6VRc+ON2Nd/P62VsaTR/eA
XvKckVKwup+e3UC+S9v9sAC95zUtwDU8htBpQDnAWpVHKx8ojfQise86J+D86o2p4u+AM7XRrHWf
WatecbL4vrptBKEXeARL6EXTXaYP+sEPiLUs6kGX3wbhqm0y1AyUoo+OMcmZteuO+lfJSEI1emD6
NwFtkTljzZiuvCFIvrntj6dL49z2eLXJK6o17bUrGczX/qrB9hO6L5Uhn1VrUJEm8fCEo7d2xyBc
hWX23pBR84rhiPGd0Tnvv8IQZOMe7FSY4SENqQMPdn41kpJtOnMTeKyAI03Eq8nqEETMS9Tk91JH
gKFBcufGoXFPbzi+I91kbUVU7txIdTKSDGNgoRbuQG9pKpNVih3ApPSStavOVa7fIJjcCk3US126
4Z2rtXBwYriTDDR+uuSupu9hi8zIuQA6Q9yzcNHGcFgCF6vXgpUlQmsc3vOKdpjSZ/+Py9xSs68j
6tuDT8vD7JX2UfY6vIcKm4Vqv9MI4q8zuyZt+PcHmv/HNjS/xPD+XU/eTVh9/7cJGPGHI8/54qCB
z3AEW0eM5AO/jif2F9syfVYmNq03Fma4P7YzjCc08prwl6m1QpXhQ3/IkA6yJn00JGSw0pFo+Q3s
ef2F+s6Qx2gIEvTXf/5vUJKuOC2a+n/8dwIbfxlPrDkaaJCpYWdHmG8uyvx5PKmqOJy8EVKQUs3e
ZH295cq+bVoMtOacQRBzGoH66nQdzgmFxuChOmKgXfLNiDU2HH/PynsjSDXkmTJPQdNgcVPxczJn
v+cIBDqHuALhssClmCcLj3a/zLPUBDob9/f5qM0FKFsRsw+hxBxwzA7IwyasrG3Rq/LUAI8HzpLg
sI5eLfhBIGXLB9OlZm6yaUknDId/rKIlrJRb3lmPxtyoLududUaCVUjZunLBMzFP1fAnk20T9t4G
EDwVGnNLu6/T3NFmMd4WrbhlBGIqoM89ptcdyexBC8tx3RrygdK6VcpK3y3FyZwr4Zsg34z5OG+2
SdZNxRYeFflaPX8CW/19KBOy6/TLDxYtmrZyripzTu5cQu9klrFtICvMD/dd4jsvqU5lvR+NX22I
WHrh0kFLq31Iu30519wbHYX3iSkuWtS/4bt9MSkqzyPce6RNUAAb2z9K1V5LN1/68WBAHcP9G1sR
tLY+ArUTmfMjz1c9LRIROaeJHdzBwxy9oKdk2+nepk34WGLC8bL6pj3qGY8dqRIERK6X3mjc9DGN
nUZDcDpO8HoJywlWfLcxvrB6WNupSyKIiwej5yjL1F3obQ5GbeYUmW66EpUFRZQCwNXATZlX1sTx
2OEvnkgqteqU8fMuDJNvDQRRiDGh8baGaPZVo92m9M75GWTTaMpvYaCu8jY8caCpdQF6Sg7Nna65
7lcdSS2Ma3ctPX4IP/A4Sf83e+e1YzuSZudXEXQtNhj0BEa62N6k93luiLT0LmiDr6FX0oPpi6Oa
7jo93T1dAgTMALoqVBWOyb3JiN+s9S258VIhTmPgvxnINewSkYrWbyRayTGFNC0FRiUUqcexkXDN
6DwWrf9oEYLERgNaY3kB41DbM4EE3ZOKyG1EPtLWfJtaT2IJOBNmQSnHx+U05qc1WbD5QRkzyEB0
Ze1LZUvCL4unDEAf9/eVtKoHfCYvs5azDAg5kLdIZC621ruIn8oXrYFBzDqDoEMXEyGQiWdq1hbJ
TJ2h6A7n7sETqA07t4FmjL6mR2cTdF6Ez4PsGS3BcdHiUMbeIjTZKHjqzBWg/sw2CX/qIkfF08TD
DXZQbBP5d4/KZzCoNmot/ElqzGQCLZBbIOjzUAdNDj6QlhGdUmgJLMe5h0L+maIoWtwCXGtP7EnP
XrNlht/Ccc000NUDISUgvFr5uFsgvtYpg2MbBqwNCzaECTsUpAC1GhNryOJMnCWCE++uKYBzlaCm
jaW+IgeOUOyM9nghCJyZQYnWJ6OGXMmFYLdouSOC+zHy1a0Xja8JqZkE3maviBkffdC2EbjDjJjd
dTNiqM1ZABrSekrB4boeuBfjJyEXVO5Ecexpdm6lKbrZZOBcgokYiumFA3FgKAxzN9H03cYW53aJ
abcB8xYq/cg1qLdGCEwlJzeDpvgqQrAPfL1inTCHjjXrFx7FxvGZ9PYqKFAdYq312gxEBbuVyHZf
6VpJFc+pU8EID5BYIhHd95ovLEEvOkZ87uAtEXXG1lkjmFINY5pNInmhM5lT9Z3VRBxNJOicnQih
Jd3SgLcQa4hjlJDXO5fGNHIu46mcd+TZQusQGMLyuWBMG5bbGUVa3nnprh0Sqo0u/Ejc+OhErMRF
ZnzOGP52i2sTZGZ4Fk1Qmr5QKSdgRlF0+l7U723cC6o3v42e6bwVXgwm0pe48av9XM68Bv7sH91l
ui867VSsRwLO3Lm8rQsjPsqcLtx3sOLx/fJ4l/gjrN66CitZX9Mg4THEv8YLmyWY8pzMO8SVDU2E
GMxqHoPNglCmP5cTMhzEMdF1xuCdu6UnZsN6DEv7gjPxSri42QrvsCwC6ldJFOe0OIBi/XbL1/cg
m+6DM2in8cNz3B/GRJwlBAWX8Nk9JCLm2U6MuGp6HWDibRdEFWvTSu6r3Kw2S8qrUcmHsRGPTQyF
1xzuDW/Zj216G6joZiYI3lPhXdQAB1UFoFfs1GKAH+YbLx4Jcqsx7I4i0aMmh4SzsYO64sXDLZEl
UB8bnS3OWW6rgQSuQV2l+EKDrPwcpvGVUFm2FmZpQ2yXjzVkUq4ga3yucu/FjOK3Iglob7ME/Irj
/LBNTEGCR2Q1Tn634lK+mWakf7UImbOTIxJ3xZ3WjofRcFN5Fa9EGrw3Ut4vQ1ZyBFXbsh8RY8Qp
M0d50cPjxaDIgsFenpq2fyXP8bknYSQYuxfXx51J2sIFZqtLuyiyY1PL4AoecJxtbWmGl/lPf9/M
gfkQhPn4MGv7X6mNgIG2BEptDuQH6E++Ngw2OAfZ9D6TCWtuzExseN9/TDMCYP1xEtcWRgkBeO5T
jxdxIrOXuw7gTIzMJD73JkS9YeaJn/Ezhvgae6hmC6TDFXyEa8szzpG2QPZ4IRWeyDFTd5M2SZa4
JWs1vQcpE1BDGyn5xRyHCKyTIEGPgv0IhsZSrhoXq2MeEYSaci4r7dB0erphLJuD6vrN/6+2MX2E
Ab6Uv7/439TvX8XfqLf1r/qzGAoJlOdqz4rlmLpA/teC28JWjqYJKRSedDJJ0CL9qxyKyBOBEx3g
hYlFBRr17wtufOGeSy1uOf9HK/VXBfY/Krh/Zj794jhHCWD5TkhLqTVbnm4Ufl9wRx52QYdnjzvG
qi5nZsNsMtMMDKE1mW9VmQ/rSFrXbgzVAUnrvBExbM/MYHZsejVARK+ar4KgtoxNMxabYpxP/MiX
hEIeumLZl2P+NnXZF/vS11AGq9KOTrlsTBv5autep0H6KRz/Zg7tH46feiQ1juY+QXRNtgOYYvWa
RPl9ZxnLBmHhsjIt/dos5gWLyucsAjDc2joSria4PM8rwpNb65An1W6JCb1lR2uS/tgac3zpeOoD
zjCNLpqstZHzKvW2NlSOPqnCMfz1GjMJ+lI4UZLpWyO6TUWJHoXJPRfyW5dYt7UYkC/TEKOCJwrO
CHp7EwwoTYfF1zl88I7E59BKfjj8gSs42G8kUfygobmIyoLRil8piFAWiwEqCntqk61bVnu/qvFN
Zjt/xCQdDvZdo7KYD3ZksYhhUmBJPeAxJCVjrG6mqkDfhOlSTYRvkB/J4P4HGYrgogpQ/3lU7dQs
vZtMsCoPXSEOTcu0alpgLPthRihM3HoroO2cZ8byhOU3PlfBF3+XZE1GtUFFjPHaWsjZ7XH65MK8
cclszp3hk8/G2Q95/QkmE8dhXhxVpJCZsTmZfIL8jOCBw+V+CUuwJQxGdxOqKiTZ5Usb1DdidsOn
xBxe+yo4SZbit13oPI10d9gFpyt86PGmFdlnWaknVwpj21rttZWNAMjQ7G1kyCy1E8Nbi7B/Ws1N
gZc1CLUP5VgNDoEtdkjZ40lxORvCu7cA7V+4MsMxbNqIPvjlKNxhSln0lAySqXzL57boYPVXdred
uwETNIOL3dwyny56JMayIIA3ye0PN8SpOKKApg0kBDju4wpvLFxSJfjMm9HCHz2jJvc7g+Cf0cZW
zahyyWvnIPFzYORqCa6MMYwHfnyey9hdUTx5B9nWwBrGGq9Jccb5K6kjLbUVCCJ/0BDWe+ar0cFP
RiBXGeGCJZ561yK2puF2WpnZXIBNxWtt6251FG4AQaY9B17vXY+dcRxMpqGV46wCx8fwXjSbRgJD
mSfp7GMyFh7aMo7PQZxU+8ElaUyo6LpANs68loFQlQH1LNGtSWH2ZE9PlwmQdqcaD2gS9thpuXJD
9kLMzUuU8t2cbBxcw7u+Cd8cL936fjl9kXigARMAxGLsOZediSszqQ3yasbkbIu23aRkDa3yEaGj
nx3Nyd9Ejfjg1GBMaQTUkLyidgIRULkKBvx4kIHa525zDA313FWqRwrMnt5Nvsm8f7RL/w5r3B6/
G7ybNrlYCsTWQzgSxpCPVEg9WClXHXP2n21sv/UV9pgKBci8NIektOGIlSi0A3k32+K2VRM7KLQD
wm73FjDGYhjWc1Le+2P2isOX9QE0urS8RORzXhq1Q5n8IV2iYVrsd0k2X3eW9R6Ewx4IIKmaI6G3
gQGRqz34yrmq3LRCLx1fd37zGQN8j4cCcnO1bYxG4okZb+uQjZ9hcxJNfX1M8vnb9+IdV/2luQzn
noA70df3VlHtDbNLdikdLYuF2IOQ32KqamCYKX86BylrroQhvknaU0n3t0EKOcHaB1YzJtK6GHwJ
A2G8Mb3hNvLh+Q7soqS6qfxkGzHadk3/pkahrgxcPxHPoYuCAZrDLs36W9Q8ew6Xe1MCp4+NvVWF
3zDoJ+KJ7GMbskDM85z/E5rHOgPG1fS7tpTvcTd/yDI/om370WKLQyvTUwBbyLdLXtBwOk5FCszN
Cr/qeOFxQjCxIfj4e0GRv5/sco9eyDwy3w/2EEp2ScA9APPkVjWQ6TgCKdALx91LVkBr7jjCNaP3
IU5voml4YKZ83TUL/I8kMLdTagWEpAzPquIISRP5wwPRXI40BCqcs13nqP4SX/hskrk5+3D4p+rR
9eJkazHVxcbW2XcTWKtbVzukRSu64x+vrf6uouIX3cXfnnf+RxZduFQ9f7++ui7e0uqfSJ/Tv8tv
9ZbzJ8v1LEQWvuXaGPD+XG7ZfyJZDlaP1p+7LrinX8qtwGQWii6cYG9fIAT5y3zTgwYU0KRgO/6j
8gtejH8z3/SwPaPoFIgwwPz8lfwiQSHh2iNmzAlRY6OBFpGpy44if5UpGIjgXNm4HaZ+3y/Lwcmh
tKAWtuFh1DaWk9GLPnDn7eo8uoXsd2hYdoy5e+XSm7egWCgS4qY8jT/Xmp/jzaxpG4TQLKRgOTsX
KGHWkbZrchNxDcqYOZF0q2PTBez1newCM9qzIcQDy4T7CHA6F5NYuTEnbIg8wZytRySCwNAS9dj1
9sHxqaISKAYGFtBEbSxJ4eLMtJS1yE7Ek7BUgeWsPozAvBXduO3i8eDxsrPR2AfZcmuPzXs1/zBn
FJPDANQESiZcEgRsFBclkAqWUXBohryHYmTbDqMLlF4A1ZLDJK7jCWaJ79/Y5vySxQGNLJuIbZxR
bo3JfRm1ryGYJMko0eswxqXBocyd14rFryOxw6pwbxnkWtf8nTIELR7bJ1lDPpkuGju6dtvhaXTa
pzJx7mThraX35UIW8L1g7/pUuh7LUzeqV2bdbLqs3XZLs/ZqknRCtFoZJcJsJm+QQh/zCRRGs7dT
cmW8hnzvKb7PjWhXkzOxwA5mWE05VTPMbe3logkELsvGf5UWf2azbGZZoeqssiNUiK3J7DNqw1ev
7/cznHd/sK5Y/F3hi906RkqgX7XJGn7Y5EfnnuywvPG561IrflDzZxdNW8s5W4z2mvBkV9Hay5KT
zxin8fJ9nuZENpWUDUQxQLgAl2uuk1ydeoHdeO7FsSqwnXmodFc+ZtoVu71jZYL07epVU4XJk3Cb
23oIL6K0+iAuROyXjmZ+WfqTlX0PtTjjEdizULptQufZrYZ7ouYKhLndoS3D/rJL3HGDE+zchstd
S6jhiE6VeTSGAQ9Jsjevx5EAORWcMuV/tz1UNuIRe3HCJ6WteisWvSQLpc7LTJwiMk5WXAyeyz6+
zxhMY1DT8kuwk6tU5zGaBKus/QARsYthQ2c2joQ3kmV1BUWPOEf4Rtm6J+LRsPYDdjgWtnsopUQk
ToOD4E/nQuY6IVKSbLOzdWpkN1hPEzGSUQfJlJi+Zg1dM3uNzMVdFW1GyzCKLSrrfVunxPI5j+TB
HxveyqhlzeC0Z0wduwFMh2tk64w7fjDF5QhuJbJmyLWMi8APQFoGnwqPg8XMte2TG5JUIfpIZuL9
RUlJnFTzWrYx+qmCIReFjZju2GNc2IbYeCwj+BjWNrvijESKOO7XQvobk3kD+RBzqCcqGfvbZb9U
SttW8cI2fCy9PFuNvbOH/CqZrL3qPuU8kxPonkpj3LctxvUwhYwTALglwdvB7qs6B9uHcQGIdeNQ
eDKHfayHV7tYQAIyFLdeFqIQ5xmxJBpi1hz0Kpb35EClYhlF6bxvumRbipFExWiLMYLTbh9anwmB
NrP/jpUH0122iot39uCk5730wbTueCKRPK8B5ZxwmQHJf3RmhTE33REvAzyHhssorssgXjcMsZY8
WhsJBzClE3Y9sknKdTYg0BiBUo8KFfEcbAbYASObaoKUyHChAtNKLprpnJW99dS38BzIadQVZhUl
sLDE45ACEmz5ravqrJ0YCIsZ47vudTO7hwXjsj+Yq9FVVx40nBpNNuLv9czQiN+lvrIYubI+PVdW
fjfX5lVZYZvsxk0SGAcPCaqDWf0RoR/ntDu/IhbY9Cg6uvQ4KdA/YBmv7DG9oMI/RbLHQdwZ2dbp
IeFUzIwUG3tj7hA61VtZ8Pou7mmaI4d2RyEAUHutUW0aogdtoESLOUK8nlAt+3sGkeQfNHs2MrsC
gpHeHSuIRk3FFoxGXunYjsm+7PF/tvOCGEIgVv1IUKuY2TO26R0z0i29/bYuu0se9+cUcNJUkIra
cgepS7yYOye8mAv5LJj1LQSvwBtABEUEimUj/uBTrsvqKGAyJfWD69L+Wdlhwe3cLgZVXXaVOLR+
zCVH5Z1KEew6wE6JlZ2yYp+iBJCWsV10ovzcbnjP7goXkDAs2qaNdqq9tdm2OQ0a4dxljnizpOaR
T5DAtfQF4DVKYLgeI1ZFOa/y5DrJDLQP5cYGNTUY04K1E4tswIBe4zYMwanIcaoq+3IJv2GmHcAX
bZIRE6v0SJVmpiqRaqkeq1m/g6c/rf542fi3C8Jfasbn/0TRjn8W3Pr/UKt7+irit/Htv/y7qcX6
t/lz3SjYBAg8OKjs0NsywfttMW7/yUaAC0fL1mzGvy4cyUIIEegyRmNa+MtiHDMlo78QpCNBFcSw
/4E5nev/jcIR55Bew9NJuHgrf53TFUT2jpNrcbipNnkEF8J8y0gD0vGW7oA/p0ThxRjCZuGcmHJV
ebCTek1RijPrW6IEXKycPBDDy1CodNRNmr5kJzkgpgAkk21QuTVNRmcejodMc5s8DXDSJKe06Akk
Be6EzzhfCdgL9pROK0cToLKyZBXPwC2h9ZnTBrxVz0oewQ56yyWKt0YXZsdE4Q4wi4uO0LQ8YJ8S
WW17bqv3wZ9uJSQqt5FnqRrQVBpSZZgaWGFhN9aifBOS1VSE6xyyFZFgp8JJ+mOooVezSzZPUi9H
SFvoJTUaq2oo7lroFBHULHfJDWLY+5cKnpar4o9CA7akWX4xykfuC3urkZSxETSunmq0mMFzBY54
6EZ4ajXkrtJzk6tCw7zGnLJu0XyvhdthVqzQJDZHCwZYCgtMCdbKmPWhVzr9bmG9jMnqzdUAsdLI
TwKimGIT3iTtXahRY6aGji09LAGNIWvgkSVuiAB7uZeQLFtgZY2mli2aX6YDB3qAZobdbOPGvpgA
nRXg8VFTOesQBJoXceL75alDLheVzdrPfCJxn2SXMvfX+j/NUlPRskF+YyekCM+oj9EVU/WEq8XH
G4NQjXt4a2czYIPmJtKwNgtqW+xUC/dU8do2yXsE161liSfj6cmuFo2dZ21pQ5ezNBsOKMhjDSyu
09Q47+fz5CAVLQxKUoJM7a3IqttJ8+ZqCZ9jEkNz6FnEoVnu92QK7gsufRtmnUg4WzXEbi7dYwbV
rkE5vIJTgXEdYBCo9vDSgYEX4YBdfkLxQOkjD8zerGraTYN1ayVMAIEE88ucn0K4Jj11XG+zvuf8
wj/l5fCipWtyctmp8Rkjp8y3VW1Df5xZdSfAACl5/VudEBpvijZ9SLiAZcB3X3MrI5Y+OyLnyhEo
DBpm3aZ4VZTZAMU7eiqyhX2zOEfFcmQz9ChHLhAnQf+pi4Y0LNnaTOmH7XTXrEAhRrkkqS7LyXDZ
evuddg415dcM9I2cphEBsbyLQ4vCX14QXLifA6iBlEUiF1svmVmEUTalJEEvlFE4fdOtnZqkKLC6
zqboRLDWhWJULU2moQu4wVVHqaaVAAMGV9S3/kGUYu9Q2g0ZNyulXjwpvEDwKkyKwGbML8xgfqkr
6Kbsp4vEOoyu/xpYw7gaKDIHR95WFJ4UVdetLkZV6L2mY0qJKgD9ifgh4ykcehtb8XC2mGmiJt4N
XYfvVh7Mzu/3i7K2zUwaq6dcXWnVyZkKDIKSSjAGEn3slPFnprOQbWbIm4B45KqBneRURM3lV6Bv
rbWczXBrlviLPB20XLZeUm+TGAUwdaCRqvhuIqQ57axkb45JSFAXlYnldAfGPs8+KonJroh+brgb
mESLx0osLD5LVV4Jmzk6msYq3/WWFR1BYuHz41NHUsrsOQnto0xCFn5kyaU61pFssO5tpKtk7NuQ
EVqgVfbc+lpAlt1GwfhEzshnbgUG5zDD74EpeF77TySP27eUNaeYObk5MzD36OBQNrywSQWPa8zT
rjWTfhUyZ4+Yt4/M3V09gJ+ZxBd2Rswuo/moLz69NnH2BVN7nUKBlPMG5hNhSXqwD1Nlj4s7QhNJ
/N7SfRHnQyYh2wBTrwXcsgS1o1cFJM0sPmatND6mep2gmti7sfWKoQniheZ0fM4K+aNy2pjx3bTH
+kdManbjTsUNLutsberVha2XGFEyXAob40eUjXfoxFHLsN9no3sfRsXe9/IEf1NJjsZi3hkeaxIm
3+3eZHPSp8kPWTRvU5bp1Q+r9lh8BnrZMjiEWer1S6QXMdZsMVbXy5laAk/r2deQ9PoWsr/x0UIw
lduEY+ejKqpxYNKepHrpIxOQyp1eBEV6JaT0cogpsrmqcYY3enEk2CDh7N3isF6b0A8jvWJq9LLJ
Wcxzo9dPI3qiFYkxhMjq1RSAEP4O2AdYE3c712e+I3pe7Hzs8n1XAGfnivzBOVsfimi4LF0LfVLc
N5+9q102aUN2GGhe6x5quHmaSh2bpbmabhRty44rWJXoR4LZsXYWiN5zWtgEiZHsF6iBixiDwY27
PCmKTBd+dNqXMyjl3A9Y1nsBLWgVHmObyJ4l1RAqdpfHeQJiMDrS3oyRRxpr4CErrjVO5aX3U4MO
Rbb7/yYcKRtLVIJoPxT3gydfK6QmMuXnNm9E5h5sL9owYTuOijs5RKie6zegcdcx6Cdg1NnJLLrj
FBrowhW0x3Ep1kiCoJj6DQ7OdCtNaW8Xxc1XRfHDuGR44D0hL8To40Uw3+sWOfmsRgFXH6a1FHet
+dNNU/8oPf4eoYROEEX9QRTpV1xmJMr2MUExPlgG5QIg9YCFsYh5zQ3vi1gzzkOzeM8Lk4WfJfH6
iTDnJqYgiuf4dpI0lMsQWltn9NXN5JO+WZCAB7T/aRySu7FcXlmwP3QqIoHSTOl8LPz6xN/6WPow
Jw+ABPr6xQ7dbZ0Yh3qADO2SAtcaX4y7UcJ501E27rZIiEcZG6S4uIuqkYFVMPsfUym3xAt+d0u7
4ZVA9JtxhVSDdzTK9q3xxSHIyNaMzV25OMcs7IuH381a/4YcM/wrNaaNAlM4boCKwRK+RYn7a9Hp
R0PdETAiNi5Era1U/rEbJ0Qp5UXNn5653RtoxyMYQfKPEA+uTALD8d9+Y7/dkgOdriiQv+ucQZT+
4UgY5uR0tws/daN//LIQ/caP/W3uty/ez09Lf26m/gRd7raQjzSPCpeXxn/AP4DZKrvLDEZyfAmT
lxgrsl9YUyzkDs76u4rn6Cb9+e2JKX+apDJXVjY1uMiyd8TnFcWI90X59Jro56AbzHrjB4u5B8B/
43TgMCweG4PHx51oNTmh8lU82C+RYSfrcE5vqIRfzNEjMV2QE9uCRKRieCe54iNSNeLEaP7udDBS
ErN4KOUxy7MH+Mv9qtXPtUH2YbVw9uonvtHPfqHfgpHXIc7VVy9L5o79HhE3YwleHCKu7haCrboS
V5Z+s3jDCjxvrRbgfFfO9BgLdPAuK+P/N9Lpf24n8Z+yvwz+YdDA6X/9z/ztvUmL7t9vMfXv9FuL
6f2JbDhBA4f4GqqVVlj/1mK6f+K/EVsXwmAwAaLRlv5FCuIhmECPTYmsIwZ+aTFNFvj0n6ZrEl4X
+n+oxdSikl+kII4DJhzeBP5VOk1WIb++7UgwMS5bIcFC/ngaxvzdyPAEIolst301UN5MCAH82QE2
qPISIGH3Af1PO4Dqx8IdqVfn+w55QltE8X4YR3NFN3dwy/REoDCiJDORdBvVxSisD2WIXboASmwL
XmPGmvsyns6AbVi8qRR73dhnNJ4W1rFGoY7zoodqjK8KknzBOnWPo8joQKVzAbeH4ZPrnmTr3IxR
cFBLNl12JA21fXQ1p9F3HPYXwkD6NuffjgAl2CXkAoXduC+taTfH/kfYYM2GxZ8mbrSNxxC6Q2xc
Wj3ALTExs4fhiKARjQDB5yKIWYnPcX4yGXSulV8/9dW8T0zxBEbti7ThWzPhjXdqcRMYmOibTqFR
bEqFl4iSW/ZoRpuQjQwFe3C1xIlak3h5iNr+I48dUHHCpnWxmhUkcXaTiJS3AxfefLQmzhCwzsba
1o4ZoAZXVskHVOFmAp0OwzKCSkM4/K0ZcGWDA7IgKriLc+l0gBvDiD7MacUhrEkIYDoVUtxP4RY7
+gaCw4fRKowwvtqGY3yTo0Wg69qntYv418fo4QGPaUBc7lzM7jIILvI5OcxKpDt/wfA1BwjDJzm3
6yAkWMJKp6OTKeDQEXWQqcpTPavTaMftyp4cexd2Zbgv5oBvm9EoRSGzu1WummJfdy4S/sFqD3Nh
ynWgh7RROPnvURgxwADfuGwbiyjVILbczWjp/qty30z8WyvHRpzJ453s5sIJVoPy00NRBdFKFvMl
dko0tK5T7es6sd57Medg1ELjBgpH+hiUibHOc3CJ/Ck+YmJxK8YIM5yv8fVOSGeONklBImfrDr3g
OObTB6zMK6wACGBxB5CRfaPiVKxGGoijkMNL2aX5uSEnAQJ7UDFmHoyDW3HiD571oNB9EMonnnKi
XCm3p0s4w+l6aKvLPqofcHgdsiE9jKlzkUuDNyKwZxBJDZCitipfB7Q5zdLsXcr9tOU2UoQNrUK/
fHQz75zm5leYEK+Q1Z9G6p8zCzfYkr8meXPvltTR3ei2V20v76eyuexhTw0RagW+Z7o+960rnaOK
/cd5IHLZ4YZhPfQjYkJJ5amij9YDV9RWk4GZyx3fDaMjKcimlvbrL0LRkW8yQmmRHetWaqmo6SeE
sui58DkuxhXqgeBFn3QrBTvRH22Avm726BhJt88jJKldgnAWZWTjf/ptuUXKwv5Lof5KouFjLsZi
2gSp4+gxwndpLMNnnXFSbaKBRQRSILnJW4HCNoPz7sxXXcpjv7AcjGE4U35ImkV5P7fN85h7W/0U
d3ZKPrwTA4BGziq3UZZdS2fdz1BeVZaie0uNG0eT5WrNmMuJ0ztnmjuXOcMxSgX0ExIB14Wm02Wa
U9csqMjB6QFBj1y5F5pnJ1MHFKdm3JXQDIkWhntXaAJex5Zi1ZYgMIFFGLdR23r72Jq/ZBShETNZ
YFpqCa/hY046iKndmD+Je6D30HaQE0oLl2sqn2rbXRP3GGBh9hVhnFNH9eYrXT2l9dhhdJ7Hcwzr
r3XLxxz2n0vmpn6tKXSIyFsPg3x06UVdawbAX96myMFryCz9uPJij7RR5b6otiDbSLJuk/OUnWtk
0FuUrc1KFXxfdRF4tB8o2XIntrbD5IS7IIapWxaQS8k+vLQXv7mMOivYOG5RnriGPnq08FsjcMiJ
s5vAJiULJk5pKwYUVRrxYXOISL86qQxplh/lx5GCfFsNbAps+izL9wH6MraXcX7bN8VtBeRz0+M1
Ju6gcDRE+exWDM6iBH92C2VFv32MzWR+EzfDZZHMtOcmVmoG8ru0wTOcJsVX21R7lL7cV9V4n2Ri
V1XiTEAoCQgxyhlnfgyD+KWx1K4KlnvN7sxw5BMB3YOd7BbyzfPHoVoIa6xLez1b3rXMUCKlPrmg
qujeYHTXGOqWcA/asVmHKnvvTRFtkAGtc0Kc8Wps3bj4NuQI5gvUYZa9p44bbyyRBpuQB549P8om
trNy6k7IfF84QeGDtppumz0VoHU7eq3NXPcf+Kk2YUw4lpu8VgrP5NCzwBACOFkY89iNCvhjHNwU
Hpr3plc2hAE5HiJBVHQuBSLQML5mWU3ovEkMIBMaHkx6Y1ZHw7KylZNApnN7vibvabat14AXKRfe
DRJ+hIATis2unyfaX/vSwJS7GQKHEVnL2qdYNqoiOFYZ1XtfBFyzU3JixMlLFiostXaV39YMq0Xg
T7tMgd2rx2nbyfApkNgHM5VWO+GXFxX45yFuHy0JXhpON6edPTH7rhsfQXTHKssgKSn0b30UliCZ
SUZMLow8Zdc6PEs7iV692Wk2uTNjH8F0QdGTx7DogKxNkXdf5nFAGMh0Ab3h0RmKj1HSYschZUTF
/HpB1KZ02ETuWBuPY2g1YlNecR3r1MZ8jUA8xvmUDofc61I9kHZuECGo81xohVa0ABWyJr20Ja6b
fjDIjnRUp7nLOV7K/EdTVtZd1/XySuGy3c150W2nZOwO5khbDiR+fJvHSaPkSsM/qbEtCQn3it1U
uf2RHSIQi6ZhUc59xoRxDp483LEn7m6JPKO2yRmG5lDW4w64+MkP8Yyimjtg8aDRH0x3jWUCFGvC
tj/LQ3ObmH1ar+ZcTaduMf8vkhT+iZ3V/qu+eiu/un/5Rdr0P3791/8YeBmY/NxlPmX735c53civ
tEjpE+AV9Or4+d//619+1W+9gw8+znHhDXgYLdEpUbz/1jsQQYagCXCmb2tZEYum3/UOrmcGRJNh
tPy5n/q9rsnkpRQB7cZvbcUfWE8xE/g3vQPqmxCKtgW+JoRm9WvvoB3RpiTCdsNE9tvgD+YgyQm6
McRtpJo7hVGOhnk8Wxy3+EZ+pDMC6UZCmYiH/ZxWzxlQX1zlXkHHTgiN7c9URWk6UKlD1QdfmN73
w/yAYuoY93BTXOsghuw5ZVFR1eWT8NSX4/afSR6e/LRgyhtc+3YFhhdwZ0qdaZBOs/Ib+97tiwsm
bD88c/zOEbWoroWnNgzPzOkiuoe8XFt+y6VQZ59d3tjrKTK/CzdZi7wKVrE0roQAtWHPwibZFBli
5Vw5jcX8LDOdddYUZAg3BD9j8EO8yjJqfHWCbldPU879Em6jfrgSYX+dhTaUd8SSuVfC2gwRLFYD
dsyxH4C5eYxYwvxHyTyArNS3bnGeWx+mWjORsLvYR+Af8NQDdciD7Dn3iMixyvjOHq2bKu/fKgst
h/ABIbT+pRFnZ7qGLf/xjmzcjQKAEdfBfhEWb/UIrVrMl25LBWO21slpCCN2jKbd9VOrMTiMaEJL
ac30PB8XxuTbLon5NOBrhgmL+sD9xKN+bU+yBxGQtBs5pbd+Lx/wqcO56Nt52/mBtZ0M8DSNRQSu
iiyDsXNSX49De2PM4qVX4ObAISN/cXFdLeMG/JV9bwTBV2AY37NCADpZxnfPPFbGFSO+LKrv8p6N
2lR0J4K8u3WVoZsqovw6RA+zqmzzVA+OAkw3cbixBDBs6wc5SacA9dNIYW6E+ftgivrSrbpo3afW
UY3BVvDPwQweYuquOBnumHdma7cYDiFfEx0FJvx2RomvGuNmKIc3idJrkw/qi/wueQTVzuS58OVD
k6EMHZf/zd6ZLTmOXVn2i5B2MQOvJMHZSSedPr7AfMQ8Xswf1l/QH9YLqqjOTJUkq3yr6i4zySzT
QuERcifBc/bZe21E11Bn00WAWomEmvigUhaxwxN6cu1k2dSYhnWCovlAAEip3qfBtJYoevoZEveZ
f1CXYxjS4msqkvMsBgvFwVYyhgVHHKpzEOe1H12HaNZ1dr/saaEjA5ANW02Md3rHmtTb+J064bc3
o/F/OnYdCjFiZZ/E8bgk9nxsOfouS9X8yKdQPU6xLx9CM1U/tBp4CwSkkaaMeZbP56EeFz4ad/2d
zvM+q+kdg+/H6LhhypIWT/sgn5x9VlWP6PCXvMLEUcb9XhmNFxFlcpFlUIginFZRMp9SEpNMrnEn
ObcyUJTfTRF9JIN5M5sG+631kPrlOdXHT5gOTLrJcI35DO7b+tx13UMdZ0feBfUiZFYPeye8w81O
wCuw1LVQcqzxVr2dmm4lbC6iFo+MZHgZlXbb95RTNHRu4MUMMEDJn2Dsk0euY3Clff2qaRStDLDy
+DZEhOgoH+nK+eTDWRD6Zd/RqjroeDCjhvcWzzjVOClM4Q6mkdEM5TI1McHolrKSWE4XIfVtWH8w
0uutq+/DqttPeOFIotVoeMW0REf8jkzqoiS9Rj6BR73OrkM3PomIrLbMScUqHYnT2NFvciJ7Ymez
T0kSVOlqapTgc5q4z3Zkh1sA7qRRappnJioWzhOHKSPBIkMNTbBopiT1WmkWR6sLMw/0vgBjTPhu
AjpysJvsjqGpX1mV/xZZ8SXlS01CfAhbPpcVJTi9AvvT1A6D4rxz1t/WqfpmtP2HmgcE7Mhgwuwb
+2ptCER4LotHgo8DAyBUkpa+GJOcLLNKsmD/gQwelZCLcNbfrAl/Pg3yQM8hFnanLgzq+yDLYQ3r
1APahbPUqxTYWGRTh10FzV1Jq4Tb4twiDG+TKa3F1sEVviwLsescf8krOr6YRYglMCF3F+L9sgeE
5RD7RGui7jah16sDdxlHHd6aAuZLqJTYyLXsGBW9s8rQKFZ5VndHdiRzVea8ZIhO9KvIUPyd5lCN
gP7/lTTJVxIMYDSLZDlGHHE55MbkqxOvNEIuifFwicjHeKUJj5LTBUysglh11Qe32o0oEVbhNBnt
HALhmdWw3C/SgJdEhEliSdgcDH4+xAs76AGiaJX0Jr1yuAUkPO7S+C2Y1G8zwYnVufaHDr5kVU8W
187Ch27SZeKgUvqNKJ5e5Kg7HnUPUNotYu6Ksyl0uaNw8UCp59rxYcLXA1dJtY69YCBRITT7Mwqc
Hrunv7FEw0Oudm59BsJJdG+mg7xC2+YBif0YqiWFC6GzYSF7clO0e6PtznZAG4oe56u/7mn6z8nO
/3iK/NO8+F9qQMQJ/s8HxEP9Lgl5/gk++GtE5Pf9GhGd3wRmJERkHW+5Tpn2H0ZEV3N0ZkRY+yax
de44v8vLGhOlK4Ch6rblmny5f7e+m7/RQWuALMRuJNCk/yLa4x+MiCA9GDex0nNScudf/wN5MFaz
isGJKFfX99m9yhkd1XsxQgZTofFkSG+t0MdpFZqMjkvfMGFPYJx9CeOoWiv0UI2HQBfAsrSBMxQF
PVPoycK+VTq9DRmACVsFp8BqPz/rYpOqI+IlNDU/UqdgEAYpycyb+INN7ajYxbG3p6Mjx3Xl49yD
bXrK/XYD0mvt1t2mLMxt39hvaaY9yKBe+3hTI4HbKjcumRjXfD+Xjhlxyi/WZmM+95XzqUQTxM7x
qGWEcuNE0ElPGfeInkI6yrkKEy6q4ou9qHibU42+VIBfAdCpKWsaA2NbxWQoJ2Z8PsGnva9qTy0K
rFUW2aooko3qYyHlyH1OLHGhw7UGqZTC8Rs9VHrMyeFOi5zXts42do03KO2OeUn7Er2Vr0Ndb0PN
eUOX/zDDCbep0r72OCo2zAX5/Gy8j+uQpHma6asgLj+jKnjuO/eD9p1hkReIwSOOXHAmOh7voAO0
yzjfRVqzcVJ+Vo0IsjP9qcAj24Q6ID7xYK2UNIgFlFzF1E5cEpcHHODjZifSmFmnactdWHbtKs1C
mwm0zC917cxtj8PN6t29qzcfbqauizBHKGmpEaYTHfNGF304nXFXJET6jPmeao7l3cQWb+aFBy/s
JUQ+AdPUNbjf3HZBZSvkOV31+ppGcSOIdkAu6dZq/ZHLvP/dlZXgIGl7jIRfatbMUkunLbO8OCph
yeSoOagkfpWsCz4EZjjmtFRL5VHRMJaq5Ldha5Wc5cOoB5qZGAvDKnZDF3DFVBTChgJzm+bEhBDy
bcD4iqmo+UBmg+Sr5ZQ0KzwpJeuEQpooNZFVKanq5MlUgpujNIh0UQG52W/PwTDxsjWea2t04FuJ
c9N1H0nNvAkcgu903H+nY6VvU/R1DBHT29DkYjF0EA+kpGyDQIEvg3QnCAzOz3oun7rV7dxU6fiM
FhluEEe99aKfXwG8bk0R7kKVA6iBUFMoI9WJuhNzvyFxZ0D91XpbWdZhvieSIvifd3n1jCEdk0iR
bYVtvMoIi0YVVNldXU2fOoHmjcWhhReRXPsl3I0suFHz6JlFv5BGwjWAF30Q4FXRWUJ4C6baQjcQ
7SSNtLqkdas2PtSBvwOhiGvVmIAkkumpqOimD4wXDXqKFsSb0fxxq+RVHWLPDtpdWnKjJju4mNzx
3LrGTvjJVsvaHaPJ+AhBZa9p8HIGtd1parWLyJwsK+ZVXoTFKmkU4DkdkqNW8Uio1GUUZONqqqyR
0T3aMDQMCwwZSzOeh8O4eRSMUjRc4fTHIs6mk6eebKmyyomyFn6wlrb6kSqsvmZYiGUvK9Y0pPc5
ZruHXO2BzrxJp9/4WuPxFbaFneOAUw+0/kZemKQUi4EWok2TCobEWju62LgGQVLF9tDZgOGo7jWE
fcpzfuWW02NNnnCl1jA/CywHVX6cmANicg6czFLkq0B/ZmJbpZjZccqZVKAZ8d4F2QoUrPwwuuCp
aSjosjuWKFdU56FgUihpx+tYiut5O87G4Mun1o8IJZuzNe/QbSRJ1qYNKVp1F9nyp2LddsV4dvxo
L1gfyGhYfApYL6Okew5NtzLTS0e+L2B7D+L6S2Obn5AxI1GuNLb8pqGVQiZbVIZdiwqgT030oPJe
QZpHIiCNTmluIHP+EuwlWVNQMSPrhxxtoUBj4CQImBrVoSyQ9bPpzp55ngVbFqy0g5KL7zEePrRQ
UkfDYlX11mfQCpikJatT4W5zEiDI+fT44rcTNtYX7LFpHl4Vs8DlIbd60UOrrm8h/ql1BlYtAk/q
TNm1jwQa9JzOCkaGYlvwGaGO7q42YZ/GRrd3E968STW+GWX5oE9s2EAqzCDaCrOckEK6c9Z3JA66
asDYDwWwTrCNGyQhNZSE+rH1LfDutjwFiRbO6NF9UkVXqMR3iZbIrWZNJRy84sGa/WOBgvcoaKO9
S9ZWsSHMWHbzHDZ+fYwkKQylIOlr+JWyJXwWUZus1cvEmQ4o2jVc+dZfaGb+MsbzolBb3KXwVAFl
yT03mZLN2Bm8Eypi5josFrvlFFa2+i6XHDVJCJCu7ra6Sg+Fntg4cfz24ibUi4NWWfjOAF+1rd6B
gw1rQc3kFJiA+SN32ZNDwuWfkO3seKP3FC6z0wC2o/e83mgSERuUZbCq7WZclUF+wkOVswJBGCgR
jI8ksj4NSH2VbD7loDerHItj29unVlQvgP6eqiC9L0v10OVEacIeS3XSxftCn9RLZwzT0hDzFs3P
tFem50jrHGBGk7OGosf+Mu8gmGqTVDmip9u8G/ydGYqDMSXNXeYDweS9pDxPLVcAzR4eWzPZRiSg
QH/UO2eCOhjSEzKWHC+VLiJ6J58GlZxpMTlsjW3u4CuzKUiMLfns9h2+Qssc1hJRhXgQqqyeKu6r
34i4xNfWl5//M2z/TY2dnRf/Ythu068o+Aez9vzbfs3a2m8m3guN9lpBpZGlMzb/kmNV0gKGYdBa
ZIhZe/2DlQMN17EwhWqaTqSUien3Wdv6jUIkSBwa6D0hSIj+FSsHiuvfybGEf2yVkIAwEIxnysif
Z23IlqWwfZS8NPUpOAcX0eWzBW3TuBQW1vWTEcQfOLtiL3EcTBvuF2Uw9UbS0o0RmWeoGzLEEme+
T8Ma4nY1foU9LPwhm+nXJYtw8m1EGl9/kMF2NGffPCEJbSX6wIK8Gi37vIpoLASnVybmbtTGgqRP
eBFtskWfuvVVdKdTr+ZrZBYBB99XOdZekgOa4mAgKfhvz0duvVUFpsSxu4tyhyp7PCX4AW1vsJzv
QC2PghNur5qXRI3hTgw0ObCXmvLZbtuNohHnm+Y7ETvvOqmGjegd81nTiSboRbKDSrcbNIf4EgZL
zucr0gIIOmIz8Ks099I5wLu1s+1NV+BpLpmCIyt9L8njLRWDWskk2M79aU6ofKBgA8wIx7VaT3j8
xvRMCXq/creGpMBk6nZz+4kt0y+77e65Z5OS7dQEETX46mzjZqRzj72pMQf09aLXClZzeyTHJq5d
SWgxFoF16qryioOVM4/IX1qt3RkGkSXu380qrlJ6cO0W1OgwiJWTmpccqBXmzlTD7gvMFKvlgitj
vgS+zQCAbUxGeFvaXnnS0nHwRnqNFiPftmNhwD+OHL/fYJ04D1b244TUe4oEkRFCQXFnlSH2hnAt
3XLVusXJHOhyjYTiqTXX1ZJDOdHeYVzNbVGd495rFmGK2mb8KoM3XodwoWPzTuejit1mP2mq16Xs
f7j+WVbMjZuGL/YkZ+cFbe/+EM6P2OERIv1P4icnRyF+qguHbTGpvkda9fAJhE+yaY6GOXqDrR4h
pW4HGsvxEGY/uDpBcZgtyc9ROVtxrV+HyuIV0CjEQ6fuh1jMxq6sXZsPe+zvz63E8BFO6sGV/Bma
fkqVylxIqe1SohoL3XbPamQdM/zTBnSNZQXjim9f+E22uVhUkmCfOeG7ybp8lbv5iR32gTAEx9Mo
rl8DhStvqpWfDSXyiIWUcI33fB7y0k17bdnCQuUKSwigGluCncPJqsQ+yYt3lcZNIi7jo5azUNa5
8gP0KmJyE19QDziwJB90S+60Ngm32Lh+9FF9FqM0UVkbWIa+/e6Pxl7SpblW2bCp4uFi3wtodLHM
XwYaoRXC4lvJS2OZZzltttyri9HmjTjGlMsyG058aSxKI69d3dah/cbUVhIyHLThLnHrPfMpd8Ew
izcmXdPrtCFlWCcDrccNAOauqtyTLN2j03avWVABLKHnq7TKTZrM6DPCWQAtJRghmgfxlhPKqAZa
Z4Mev1klon3Yz6VbUiE8E2c8TcQA1JN6szGL4MaNGXYzEMxeUQKZ7lqCmI0s33je3OMgU9DicH3Z
Oq/Q2Bm/+in9cg3zvgtBEBJUoEXN3ykS6lZS+ofWjjxDQ6Ll6TLV9N6Yc613Ej0VI3F4ZeTIYdEU
O4Ms2ayqOiPcNEZeHPnEB/X+IVIZFIeymH3f2fSJdVc5lzq8lFTiZLHEbZhByWmcEh8Q8tqRy8ai
Qso7NnAHk1O81In/zp98Gwu5T2tUZOpL2Lilc8jg82MLEZ9V1YVYkshPVCWjBP9Sty4PJOdDWDZM
eo2ntt7zpGPV55qxSDufhHiigSqn1tYP8bykUvI3SNq3nvhVASFUoZHNgWiupfpD7IakxbMRO0ut
pkupmddgYgspMuO1Bs1iQOnHScHyprpHui3axWCl6rY1cm1VdnJHRgztUWjHyHL3PpllCqv3KlY0
SIDB1xCKbl3T9LZGLSFFgk+vCPL71KW1rXBbHizOgwVUDg6TerLHk10fukb9bjFV8AmAuUVySLEy
h+8roZGiiIp7LSr2XRpdy7hbp21VkPKG3+Q0arTRXGPbkkGzgI/YPqxypzk6gY9huC7itRrRg21I
9Fi7z76nkmanMKjuRZ1Vix6LNWN4mHsWBL+cTycm0gSkae8+hvBSwNzhM0jC4cnkMnPkGzQsRye6
VA6IgNDQNQg9TeiT4fLFJkaE205GmO5s8JiP6qRgBgukzG8jz/Oj1C1iw2jz8tZH6bCUjmbjFlGx
PqQOGYGBdie1kEcjtF9EG54DX78bZto2V3kY3zOBGw7BeQ74TnaxHYz6KkB1BxWJJGB+sDannePk
+16pn5Ouv/FZs1VSaN/IvvAH4dQ0MwncdZRPGabRk5KOz0rj77Vi2CvddMopDFwMM098EMmTmbgD
joPew+L0DmPVIMMDw9sER84P95iAJ6fQj7p6cOVpfI0UDrdS3nEPuvYF7D3w5grp/3zmnYtQOqe4
hIE+WTMadkwOA0J3DSadozI4i7jjhRC8qIDUQwUz4UxWH3ztxYXI6WqUNFIfTQ9rT2U1OHYNtlI1
uA+qVl1A0/sL4Yp17/I6ybTHvnWIMc1sd0NLD5wZv+RMfQd2Xay1mQQPOiaEoYDTIeqJC1LF/lO1
mLprJb4vm+aNRD+WpBksP1TmazSj5mOdu6tOEhAGPZZspJyJLsMePH3UuusSXH02c+t5yGC2mln2
PVB7f6bb14m99cHdo6K8QK7chy0Y/IGyVGusv0g06otay56mugQP76P/O+z1SncfWhN4d40wBNRQ
8OhcHOx0JnQA4A8A8TsA+dW6/+JTChM+qH5oHaRn1PJDIjJapb9rAZzaaX+t1A8Kq4tlWJKGM+hL
za2Z8E0hQMopx5wbAnqqAjT+BQaZlyb5GUvmYyPFO0d/ascr8zC4yR2JrW5JK9xOm3sIAji2RINe
BgoKCBYiYRG1wlZ8rRT1U+C5s1P/hQjqfTkXHJiJv61Lsjnl3H3gdBubLoSEE7QPaJLrvYPoS18C
DGPoiDQo0FtI5bvTnIxEnKMQMBhr0EmjdaGnfSFp/B2pVB4PHJPduZ8hnj4rAgFY5JxHnQaHsJWn
mkcUtshVbDiUi+hE1tAl6jJ7sNrx2M5dEAOlEGIwPIHxL5LlC8+l75rbuWmNLPFOOPeR0yzRmwLP
kVgrffVDdANU19xCEasaqClSMh0nrgOd1ZgcUzvbZuTBnuy5yCKvu1NbkrUf/1Zywf8lUncT+3cA
qnUqEncpjMFHf+BsxrchAMhnbrROJ6+onFJXabwqQYVFccVHijZ8c8qpuNKFE2z+v98Cf4+R/0ub
///+X9/Jfy5G/rvH3wCvbuDxx6qiw3CcAee/FkODmkcYkDDXgawzXLAy/n6EAbGvYuwhA4CNx2DP
/PcjDJkBLi+cXyxX54LDUecv+HRQVf9uMYSvzm46g47I9vChMS+OfzzCuGZTh0LOdYHWcUziXVR/
FsVsVXCWtMazFdj2Wi+0bWYqi9DGDRuDKhwtHF90HVynNF6qVK8aUfeMd+KUpYi5IZBpo6Sjx+x2
gSVQTAyqSQo+dVCd3/K890HWwkoZy3pPsXi7DHR7wt2jz6oqR9ZzE+hAwMERQkVoYup8IoJYoyco
6KAU1cvJnXb0FQSWvExQxgEeg/3pjmGc7gitPTdm9+pO3cyK2KSdQVE9iUpIsMG8ExCGnZL8vdGu
VVt4YsbGul3zAP75o5iBsmHQ3EPLX02SFYxTCzbKcw0pIgmtXd4DZZwgK5F26CzVoyxkVVNVQM5J
IS/d7RrV3aB5c4oAZmvMVFttyL+nlrbzYdw1fbKfPTQTqdC+L9el9AExN9EMNSoPaTq8ya47piZp
dQscNg/x5lpCbn8VlXmF7447lye7xy6kXbqIbnQiWk+DklcQ6qkZ4YbfekJL943dvRPpP/ldH8Cq
a1Z6Ie6aqnM3OX7tRcoqvVZ9xLW4OehTxC0H/BQ+LEMX3SqNGBLVIl0XEmuRFELbw84+VnWq70X7
CliuWYya+to7j2nDPcV57Sx5l3Av8OWrQhDPnLGGSn2OOhl7sCo9Rei7KFGzZQt9Xeuqg1K3T5ov
7gabB+lsborHUx/rD5Gu7bJS2wUKAYJYAc4+SPLNcpu4AT/5WD5Q0fuMW+hicTdo4Aep8c8ITYij
DbN8AGDIhTRENOWIWnphSQ9pYS4pOcRohFtRGVh6zRlXVPeluuhRo+WMMopwzbpK3VOwnHDqD1YG
mI4Y+pE6Uk2BG8aalF0tXSDQe193V213kA4/h+Gr6v2HrqpXtZLcN+Y+DN+Is7IIIdnCXkpgMDEI
nRyYTCNxPeiSGwVWk1Sncwm7CSvAbpxhThVUp842lylHGdUfXAzWpHftIF0rMUogbGKwIOpdljjB
wwQxakoGXBnlRoYfaRE84hx46xSH3iQ44MwJRzSHJZcgb4JEZUCkCim+XzQGa0nic5UHTl1946Dg
rmhdW6N6Mqr2qYBwxW3sCGbyGjrjxWrzrQUJS4eIlUPG0iFkFXzq5RCzQshZVWQhjFN7EBPVaZpX
F8JWb07HbkZuKXOjqQaFK7Tte6XraJw6+wEf85nvci8JGiCU6dj8jYo9E0F7nXAbHTaEQ6bVBPxr
Ut40UGBwwC81aLCId3wNKoxXtVfz8w/GT05WyxCgWDA3d86EsTZjHeQTljMgZJVZjS2zCOCjvkkC
d1X7wtPFtIJ37dXWgxprV1LKh2qIHokic69yWw+n+EKxnjmmL7jZLjWAaxrOtBwhQk2H76bLPlOC
nwuEAOL6V7+h4VS+mcz7w3QDffrRAzhK694bRpA2SoH8a6ZLYz7n1bF5U+36vuqgWpcElGJminNF
Q5qqa8BzGIaKz4E+blItx1Cmm1RZ96gzgvQC3PhFLY++6uE1P9i+emdVREy4/gbWrhhST9Ee/von
/D+2S/y3BcX8mznC+ZdwwVubtJn8j67b+Xf9knn130wTsBysZTwLsz3i/36aa78Rl5uttZo+G3P1
P7hu7d90ClEAEIIFwD8x5+z+8GnuULAy2y1sw0E6/iuf5oaYoS//1qoye4RtAbyZ14vgbwihcFac
//xpziFU783AnlaKBQhQcSs6g2Zu7OzAeMtVZ6QqFpTzCF520nl+zLzZjCg4wD5OlKKNDj1haC+f
+bRIA4gTM7NWY0tJZoqtNfNsg4ZqB19EPTB41I+c7t9NMJClNTLDWdvZNK2tmY8bAcqVMzF3MPN4
3c8U3Vj1zTX33PHqYHXfWTan6QrsbgJ+l2shZJkGOilg3kCIoFxNceLfAgerF1En/IHDSMExH2En
dXTEQfYtPtk8QWpuCidb+Ul7HuGxQZYNV9rcjQ5KNlgpFLrGKaCvtsnUnyY0+psrwmJtJH3OZ4gT
bZpBsddGkDl7hcXHowihXCoO62OP3IU6xKIWmS3pnNAqz/1EOKIAYYqjDawC93sryp7b2IHvTuQD
ylWfO82W3Ae1G2N7PzYVvqpAntEdz7ClkwWIE9ZiAPLByrcglrRlepDQgs92bvcnV5Fi7QejsSz7
io14Ep9koFTEXgAkcZ1b+7aK/JvgR7jt6va5hckAa9oy23VQjN0y6OsjdhkT+xkAmjbSVpPpz6pZ
/lhZsEZ0e9ybsW0skSC3I1QNkkbVInbFm1GbNw0bsF/KjSkhx4NfAFqmxPpC8sOoA/1GY4sX+1wc
U9d86UOMZoOrbHzpHhDqWk9NgC24QfdS827wxJB+ykAz4O5GL13XrBv2P8ctq6VRjifDotujl/3c
yoYawcXWa4fGJ6yierpkXoxMNdlbPCFXPZWkXt3Va9Okqpk/6VgGY7PNbOpkAN5TveH68P4c6LnV
WB38Ub41rbOeJnRRxSZN2LoTPY9MgItJ6x4M4XMXrwnI08O7gI/BrjtFhzFEVmw1VLBkAOZP3PRj
0JITV1pcoJ0ut7Sd9PTHOemdxlS+KTm/HfSBq4BrUR2JYSLzrIS3Xq4FchEY9mrCJE1ENl1aXXxL
nP5gWtLd9GPwbZC2PIWpdU3L7EfY9GuqOGSSpD7IVt/745z9akI8vGRz9E6hxzEfU0hi+t0IVZZX
5a1zDK+TFRm76R0k317zAbdMpboue+e5rwVsz6ysXic7kYeWnw13/CYl7QjUWwFnATzUupi1+T5Q
U8kBGll4yqZnB51Y851g22VzU0r4MaEky5ScYepE2CoQmX0NC6eldBSHtlysEaKRl/YFwrTutu3C
nLXqWlGnXeWMeOxzMAsx0KdwuKqGdnFHvb+0bpd6RJbOulLe1HaWc5wfTIarHGyA3xfn0ucHkzFP
QII/6pm5T5TqGxj8tk+cDUUVOxl130XPb6CJqJKceCegHzzeHqYAznNVA/FuJvUO8/PNSMjiziED
vWzXk2P99H69F3Z1N/mcmHkT3mImkgCnjZoGzxIz+UIJDUog6h8X285SD/UZNwjByE2JyabBNHqJ
qg1raI/FV9RD/KC5ZMFh+En4PlBnM9ZPIvDzVWuLD9hQ/BSVCpNrYwHvsZoSyQ5puU/aSzZqGO9b
ODkTbhoX0b0OICeru85XmGRmC3ibcx2JRtS4AcPXmCfL0umvadAAbnG/bWkBBR3IHTY5nvfpMjTF
Nc2UU9tVrFO4LLCUufUm12xm6/Cozi1tim2RL8tVc5Ekzhv96zs1UJ55ufVw/ZS3IvX3fLwdEArv
4FydZI+uobf+C+NVtWoKdyNFf6/SB7/kInZqcVnZLXWx0WjXIPKIblFX5bvqtzMQ0PQnSs4N98VP
MtgMY/VgSOXsDi3OiBkVDhodxAfPGx2Qd1Da1xGqeDXjxcN+YIS16+9Mgh43M8QaAY285e6AjQdA
eTmjypmQsls/48vT+eZU07a69E1nBff3oQ4ciuBF/zo57s6eEei8IWCKRe6+VnNnOdSA0qcZmU6u
olu4xGApoRdHPeyC3V8fp/7f9KhysP7nZ/Pr9/Sd5N//cZ6a79y/5ilGI9tx0B80YQnTmOWHX+oI
vyJ0S4MjrJJy+tPZ3PoNAyozE+gBgkXYV/84TxE5MsHi4WCdyc3aX5mnzL+1y/1pnuIwz/Gdlju+
FAgE/uJ/VEdcC4oRTcXK6q1K6W9wrYNUK88qEA9AvELrWNh2scwr+hByiu37y5UPmd5zI7HF188N
845LTtlsyXhkYploLSvaYgRNlfjTXfw6HXmGJk8d1IOr9lPd1fdYUBnP3jhkL4s9ADLw7F/A8itr
Xai7hJOtEa65iZv6Tj61tFSP2GSsRYd1tiHbwK60MJVN+55AiIsUc11bX0aMXkiLzHq+F5FJtBby
WkVbkh1Hd63eBmvnoNZ8V5f6YfwOAXyVa8Vf0flYkjwdLsV3+qAM9y1e3P4+If/KXlSuU+vMZpno
x8hYh1RIKsEjiY/kkG2JerKYleWuKbdc7F2NvMMqrPhnGlVfMtww5h7XIw167I6ButZPcqUMXp5h
tT3wns+NdRZ4JtDibBPZO8c++/7ObwDi7vSLHW9JVr4oGaPGlmqGiMqnIv0q8Ol0azoz3yfWzvjT
VZZdf4qmSxaSVfffcIy2Jn+PJclazb1n4167dreyhwfcCzE3oQwCrWovODfU1hvhgKbcx6ZDqOgt
4eQbYWiN9W01vZv2TzPvvC6PI9V9McJN0W5rbFPut1DJHmPtvIXVR9gdSiX+VEAliFF4SewR1Z5c
g/QbxswS34WFjYACW33gvnGV+qXzH62fSe4qhvNoeHdfwi+n3Zr0pfR8aZPqBj3fmB6NrPmkbuUt
Qy8283swVetSfYm5B3b5T22uu+BlTB7j6l5dqtC7O+rLC06p46KOdmDvrQq7V3RPl7OJ+XQTqpfK
aGkmN1e2DZr2XrXipcPLi8doTTavdReqd0JDw8vokYd7/VFeL9PEp+ZS5Vzb7ex7V19cIDXUj/qj
/lQBrQsJIiyomxiXHePGgkxyeVX27uu2/aictXbNGcs/dMQ/PLKZhxpFhrkql1Bv9AWAkSMM2FV5
F3rJQ7ns7vyzKJic72bd5h3ekb5vmI/CVXp1HW8KEDCWmLcvXMLrS/NWo8DDgcB5vMqbqxgfOvVu
KmE2ek17dTO6FheiXjGxDcVSYrYw7+m612lNwhpWLeo9FbJLXBRn9469wapW2VHfwC1ZQNnWVvxR
CWVSxRrbHvwlXv5v4G9ZEPylfc+kbSz3Q+aJh4T3wb25Nz5glYuFdNap7cltvHFx01GM6sHtcipv
tO6EtY+tJcFChJv4MYF1XoJVWRIMM89v1Tu31h+K3p2LsYFX+Zl9WKd5NnnlQG/Ey3breNlHixMz
PzeraR3RQ/MJQAiLx+Oh3cOVWCj5Mt9nc/swpuXV7GLb9F/hNnpQdsyD0xNvSK/cY5QMF7AWx9Wr
2V4dOqR7Oo1p8qM8kmcIfj59aVPCYV5npz7DrI0DnOiMmv60SBQlgusLAvOieSNUrrWHOtqWKZ02
SwsX0VrPtrl81Pxo2YmnMvyZEo9A9LEwF7myCWnRjDz7jX4MbpZKfSThzRRYqng0dzjoOHB9GV8w
PmVAcOU1dY7BQwTUm7GCnvCPYG3ehrUBvqU4G2AOkTijezU6UJmtRIT1x00lFtUHtjn+0xfbvN/h
I4wkoyXe7DCjYLtafBVeiYbFA1iForipOHzO7OJr2nu2uiKRSJIUwBxXGFQzUN/InG55xC1p1St3
2o/OrR73xkExVva7XqzDAJEXb/utj289j/Wof2qf42+H2VzZOu2JkkU7XtmvCN3CX+HjVYNt1t5L
rpDJLdLvwRDcazw+aa2vW+9/phBuJDRyERz551PIMfou3+N/ZN7jt/2aQtTfsJmauqtrHGIIKyOb
/JpCxG8Adm0GDYsE06zr/PFGY1Ec4bpEa34VQfxB1TFodSCywZjC6k285i/caNTZVfgnVQd3vGlq
xvyHIeqo+t9lqXUzs2Xs/h/2ziQ5diTdzhsSyhyAo5tGBBAdGezbCYy85EXfOvqZ1qBlaA8alfal
D6lUZlbp1auXMtNAT2+SZpn3JskIItz/5pzvZN2uB6ZQA3YX5DKXzRTUa1AzM8ZdS1ftFGAwJchy
fIMo9T7D4SviBrLHEEM/s/YCKAvTG3lb0Y3IRBCBJZDNDnqXH5lj76IKYBIIy4Mk+J1JDLE2o4GY
S4fXglVjzZf21qTpfNECY+HEqLJmC+ob2YuKjnoPzJaBai4RAxNVjZMokM78A+mcvnGd+dwTao0/
49VZxzzgeDYVwZutbF3YSkXJRKFDJoJeiMnQVpGNTeDiFnqF70UEVqyh2fUan+2wEG6J88zm5cvk
svegxs2kHy4WQVa9Q2IhPh+AMV/ukvPaYWu2rLDdHuYL0Pq2msj2krw8F1u20F1woGjCNgSWB3JM
fnbcEGU73WUjF5D7FElZPdQtqrdOOIE+2T9xIdMl5U+4jmwZPy7uWWInt9g+i2R6H0V3p0/q3mxl
CTuiv0m6xFd6upctOEXXdk9JyRnijgl0yhIWuriU+ptVz57veuUH6wC/IiseWiysTY5bDL7q4hYT
6+8Tq+LWvTbVD7kihp4j49LWD3Pf+yULJTnLw7o3Y4l+ryrwGCY0R0Fsd0+jGs4kATIDlGOQs+OP
hgbh5aM3Nr5VwzzNbw28FEbLhIfq0ZXxEZRKAdTebAZkRGgbe1N7K5xjs3p+w/shpNh6ZsS00WGu
iiE6hHV2IWv0tU5VgP15j3xm04F3XIQN0DOoWSDqo+CRbLc4udEIsS9py08ptPu2sVg2uWlCDG/Y
3SyJTi1ZNGr7H0ffL0ffiiv/146+4vNjSf6FBoz/7dejz8IjuB4raJPtX2fTv62nTROMrYtv0DEE
s+Xfjz6H+G80brYNvo7W6I8NmPMXw2DTzZn5q3D5zxx9v0zN/+boYz1tCLnC7vhuBofp3zZgJuCq
fmlje8c2zH5KJvzv2ig4UTzAtLWmnYuKUhjdNcDbJEBefBJaBXCqa7yNFsYpTO1aPTYhLp2pwUlR
m8Or6DK0GJCRNq3J5ieb1Y8y60+iGckJTVyarCa97t3xtZo9RqGaeoyz5qILFUSWSVoFCVFmk76H
k0ghlnYEPETmTT9ntDqOS8Kbmg6m0yufZJ3+o5Pwziq3exE1tb3dufU2X+SafiuOsTIeYAJ91c7K
cS0wMHqMocyKTKzpzh7AntUi0COKci3RbyVTwaxwkAPXFeYccN0xlhJ0JOs2bTt5pP+UpfZiWIoB
EXPfsTAxuC2g9UbvStPMFNc4JTN55I81rU+e2pJsNZicluvQwnJ2TtqbzuGPINC8jIKsF3vaJbX+
DcX43Od4xfXys03qvS4fa/wbOO1u4sE8MRt89iw0ky0QKVNjN5XqoiHDobr3yijIsxr5kUXYmyGC
NtF0PxrHU2Uv47lf97YKbeh+EHlLmGtHDK+tMr9yqCSV/VDxozWKCDwSgLfNoDHfdqr7cEh2TNof
+7H6aD1xPQ8UwRaELGLie3Rc7ph9duz1zVRBQAKiOni8pu5i1iUMZnmDa5bFpLzTgevCIPUb3b5M
Qjyi2rlKAJnzdKmtPk5X7ihvQ2c6Zr31XWbmV+RQMmYl8oYBDWwImp+Yi/rc4T2MZEdpB2XDNNvD
7C4vDi2X4YgL0+YjDV+AqX3nWsBSITOh490JsFcIyox7tDxsfrtRoULEe5/NzZtDvoVbaN/xHH+1
aBdKyDsMHugfZq6N2s2Oetrv83AA5y7m9shbTWx7Kr9MMOROHQVxXd4Qj/mFggMPqgEXCyoAuAVQ
wuAR6I9LjaC7bhkflsLQjrUzHKoBL2gqXsLBAKmh7lnFrkOPbIuAqA0iqZ7MOX2UOp8xFkWDGxDU
XvtYGbPDYuMLb7DruyG7TE2DkAKTIsEbj8vWcTG6G01gp+WPuplJIuk+82g6Mdn/tq3VWeDVe1ap
b/Ok8N6p45DE5S4RuQlvofysW8RRm64nUgjxyLLe54iBY5GjnkgAqqZpExCNp2GAQmQ4FSQGlRmq
3ZkeQcXzfQzlIxz10FczQmxpMPTtjfGu5GOGcRiRi57bCoSwqZe7rum1E7cdSSUxSxFOEgKTVmV8
Lj7GDuGrqCGQRdEIhjzKzH3UReTsTLEXsGqQAYugvWk43cYY50ud1296iRY60+jKreskdrAOutoG
RcS0pXakSwASnXiY+FeC+TZDgMbV2Q5BlKUnO6Oz1PAabpWKOx+0OLlSUjtWVr3XWCiemR8sh3Zm
vDRX0M76eMqOVddaW3OZGVIpZP4LzqqlxyRKBEw7D/f1mhBe2um3YRs+wBALyxCQGa9o+GrxG7xm
aN0Y4+aBhbc1KQ5CHR3kwkk6ykuVLsdWG65Lqe7RJz8Ky7idFE/ggF8T7LPPQ8v4pvm2G07kJAnf
izBnHq6iV9XpagMy0SOtKzlnWumTUcFMAhUniTPk15h2d1pg4tjGfG9G4CKHlYuTZ3dl2UiAnwUh
EZJ2qbjMnXGFJ/KNA4bXY5+lrRUbvUsPkOgE1kkZVNVySO0Oj58B10DDpTX68Ob2IR5Pr6w+pzY+
unFyyi0Jnxx6KCmXsM0W784kOGKJ0UXsuj7zkbQSRFl5RokEEuPf3qvXfKG89IJEyeIricUUeHZN
pdcPNvIcnKnYxp5aMGC36NT7HabqH+Cjm41ni+o1ovA6znbG8cOKldl24ez6sBe7buC9yFvkVUus
sahra6KlwykTz9Viw3fR3YF1RDT2zCwihJN1EW5DHRVykbfaVjO8fK8kmKS6hzyDxBCfQnEys3wO
6oXGsx6nu3Iexrs87V5ahVapFb7M1gKz3WodcaeTSdZaw6I0mrYWgew8gPV8JY3oDbG8www9u21G
VCysSKHXZ4Fm4+G2bPveMK2dW9Hc95V9xyoVZD3u1CpaDamQ3avOeu6jurnL9WbfacphesJNXiCx
vrEUyey1a5XbaDHR+XSawAxvgzbVnU8849eyGMVBthpLT7s0TrUyp0Na1V95P8H0mJV5BdCCaCDH
mu4svZ9YYa5CHURUsETbeY2Pixpf0zq1Jy5S+bZufxm9xnjMqU91YmYoYMcbDSiLrqtDMQyBpixf
2Hhuo7Fk/ZGOm9wStm+5g7sxVXw1GBqD0gJPR2T2+Taq8qPK4IsOrvVDyLrHHexYaLBpBhrFMaG8
T6HXH+vWaBImKVBhfdTAAPjYyG32XBFOQzRFygtv3G66Lk3cWSMoRoyZ2E69Zz2NL3E/0SgRTsQZ
hEKsd1a+dgtN1ZOwosUe8dnB0uC2WQvSX8vq3xezKO4s5bw4EUItyrrYj6cO+2WCAF4bCWUZqaRO
LuLCbYh16vD/faX9mzZ0VVP842L74YMSCCpHl/xzBPT6lX6tv+Vf1skCEwTp2pZjGMT8/KH+piT3
pOusAd/rlON/yUPZjcgVDb0OA7AN/jGeEkvh6vXDCeBQt7lsNP7E6MFcJx9/V3+jcTFYfrCJYTTi
0QT8cQEyzlasF2VuYSnGaleF1S0H3a01tFcscO+9iINd9Rq9YJQ8ITx+A677AvR22ua9e8hM6w6m
MZXcdOKsYB4cAhqLOR6S5XUuR8jlRcE1N+Q3sUSj4ETyO3cXEPsT/bhdP8cE2oVdfe3wN2ZAqLAl
12GzOwFj485bw7lW6lHfYBjnQwqsIi+1o9cjr6TbL2GzQnrbmjoVFQlqGhg4QBAUSstt1y93cZtd
9SgrC9oBZVZ3yeT5XuOdR4/+lWTaIZSHjALNItYMozCTzyGww+wdLvx0gNCxa4fqgdsDMSpUA9xQ
r7WLlXCqAFwW1nzbGguHtGswc18N35nQYTpVg3zJUlJKkOJxy9q62lN2nN2xY+TqPFVzw7mjN2T6
IJ8HTXLUwuxWqfwqHNkD1bI4NvFS+cYyf0Tt6oj0ntleXInuWWgTgrCdOzFGWLAc6H3xYXMQ1CPg
p9JD/s7xYK/nhL2eGNpkHQqOEHM9SxzXOpGSFiy404kYIhJNZxOzFqPluV6PH7QzaDc5keBgvkB4
3bfkRvEoPMWqYwmWFdcCG31YRv6gQyczW4Y38VvL/qVAh4gGGmklyjeGr92UnooRhU5+NXQYRrua
5U72Hs3Ox9RBofDsdQNkguokYx5EEz6zkEcGuzwQZ1bdNtI3XFYVZC4mKaN1I9il73oOYaUTmyn1
4hiv5/NUMqturdelY7+1mNq5i5S7qQAQNUUXAKtzFY/CuG6QxvmlZLa0pKxcGrV3tJuoXSVKLZfP
iJ+UnUWzcicqLDiYRiIHklcz30g6yLCfCc6zrlm4bd2h6LdE1ROnN4INX0cZvb2tSnkSkEwNMXxO
uRnQvQJcdRdn2/b18yTIvfEAHfTRs61eOrvakzjy5kHuqmrEDRWoDrqJs9KcL01vDmlJyjjDlUNk
qAeyuHitOlGY5HpuuqFTp6bAV6Bwiebh9dKZbzhmugdDhICvsNyiyja8a0PMkR/ODMFHaq94gr5d
NX7vfWayZcvFTnJBaoNXM8mCxWp2k+Hnebqr0DYNTsg1LXdGaPneNOG98TYjUVvSY7kwONe5qzDd
nBypgjp+1qDoSgewWDLgGHQrmrM7uOCIEnC2MUm0CQMtiiucwet7Eaz0n0iUOwsNTpNlO1keh+FF
X5kSrKf6tCOf5kVWw7ktelxqOqxmEiFbuap5/SSzUQg7d65xyj0WCnRig+MFfblbquuWBi2HrWNC
5eiN+K4My7PevueQxLDcg9y989hxePwI69YnqjEGhwEapiDhTer4nM5xeKVKvC6+XuTa05+/M/+d
qS1/uzNXreM/vjOv/vpfh7/+5/LfcGOuX+fXGxMDxDr158ZE7Qj3lJ38rzem/ReBeBDpo2tIuUoH
fr8xkQyQWALh0tHJ5EUh+UfJANDTdQZmrTkLpmP9mRtTGn9/Y66hCVzBkpk9egFhsDH4442Zu1VX
LWgid1E9BvZ8Kt1xqyuYQ3ySZdzuYx5plNgQ63cTTrQaGn056ZccjgOLqjUUgECzWvzUi4rPK90I
zmSYdiv5Ll4ZeGnWtrfjysVzIUTYG61rDwyhcFwv4Y/UZPIMLQREHE+yTrIwyiSWz9VK2GPidawH
/YqPJN4C1oLLSuKj+dCIR2o0johK3FoyvopG5Wzawdu03mcMw2+ptKDJlO/NV7qieeDulSWeNU3c
aVb4ELG/Hlo/h0nfAhp0OrknuXRbxD2y7+YQxaMDHSdyVyzJS1FXu4WBVKw7GKDrPbxWWJvVd8/G
GDIe7S4uTBgo1+Gg4xmBQxiZ8DIi52gwnoFyg+V6iaJHT88/Y8O+FXNDHFvKUi+VgEkTFJmV4aXQ
YYAMrMjD7pefie+WrThE3Ljz0SNnOVvc25oQXSsNAxCAu6G17g3aw1pyCgNVnKrq6HKUG0n9FY36
u8jBiLsZOlNUqBfRAkvAlTW+FDnhEA5qjayiSFBBKgF1i9shBX+t/0zQuYsRErowHquV7WgjE2VY
APYABkMC+nHIS9asrXW7lLx92fg2S4juLscVt+7Qm5csbo+WIpnXBFtJu8sk1HvRs5siAsoze/Ur
jsJ2CzYG3XtH31iBEiMlGaCUXj9L6YfhyWwemkUcdDrsaYVV5kN9KMg9pm0POq85tkb6mqxsS7e4
m5MGkSjEyzI0782EZUKFPupptB69Vr2DZWHdExXXHrwsRBawoAFoorGDnJIGdfJDpTVgmAFmK3qU
FbqpZng86NXRqST8TC7ZjWvfuhtN86Uip0ZLB3bJjC1q1KQKhGcrpgcEYjdDO+NHmu5LfPHZMvEs
1dppoiErgIAaAjcwUFAlyQECEgqe7bgCIhzwViRhvqRptDdq+7qHKJqY9KwC05KTryUqZH+7O9CN
H0gkQ08zshiefF1Mp6SnoRqWMwMdiDsTRdC1R7eOjD+cZj/G8LiM2XjQVq5ppSfFrl1zD/qaZDxl
hu/6MDzi8ty1eHiHFMRB3wjt1kyJwSA2wW2tQ8KwryRsWhl7y/goy/ropBfSlIIZ5UnBxUh0Hy/v
3o54aqbTmKqbEt2xmmhSW5MZ3HONyTl35oMNeRNRHr4T3Cas/VFik9O4LzhYCsf7maDGJAUBTUio
y+tyTuAEvxNQcZmzN+0Xm66GQBj1gIRAQcOKJ3n6XhBuKDZ9tk4yk8iejPpJdt7jNOaHTHuH8b6B
1keeLQ5vZrX7YiApUVzFC4lGo3hQefbTQ6a9EYbG2K9TT5ZRQ5TF83MFQwpOaEVS5nNPlEWf1NfS
0G6ZU9y3ibOT1voiCL0g+eLZrpn09Yt4JOCK97FzrjyZe/7oUNi06DaG6Kfu9N1BLvMD832s3G3/
mrXWtMXAA49NUeqQCA5OUPOL9CNVE1w8Nlr4mC7p0P2IE8mczDyPa3aHNVdfqeMVEWQNhJkVgvfC
QGGd6LLadCQ5nKpUP5X5sjXawe/FYG2zNYIsdg3C1zFuxWbibCalPwmLb54zeg8L+8uzpy8jt/3Z
Cz+RCb8BH3gfSYnqlvVMmzwAdlqq/C5GVkKAAwTcKLsh+/NYdPiLR6ZC1HDz3WjEHdLO1OQf7TEf
SNZpyC2BOh2is1mBTnhoGQ9ua6w5eLqZOYImA9mxMXLUSPbYX3gEz27mkNggjA8RVu+jI49JnR1V
6OKp4xLCqozQ3QVD1dFkOVqXPfTZVFJzFyRlLHrQJWN0sCf+ZqSN13OVv40jA8Uwv6unRdvJOfm/
Q3z/fzJFSv6r5dD9X//LL4rJfz5AWL/Or+WQ8xemBkgDUBzoOuYPxgS/lUP8iU7bLqGASs/+gyPF
/gtUIVfYDooHx8Fg+jflEFUSLb9j6waDhz/lSLGt/70cMiVrDs8QwkRisTJI/1gOadCke9I3QsLe
Ij4qTUrzH715K2wuW7Fzi5G/VMQkQHS8T5IOi0RKmku9PMWOAaeH/BDdu59WlB2Nqm/l7oFpyX4i
TjGYbGMzQL+LVgxetLiJn6GoqdAelpDyDNn75L/vBSl4HlM9tzBOk5UC0QGDQSUGbk+DL70RAxTB
FcXXZeqmhc3HOeg3YIijwmLVjU3+QHzLnVyJflmT8imA8RfDtJlX6l8ilK8rW9/mLgIIFmDNHpzJ
MQUUKNLBfIlXfmCYKlgx45HkSEYeo3FKVtagzkAaIvohVPZxBkbIwTxzoNQfLpjCesJECbaQhE1m
K+m+h/DXQjVceaYVlMOVMoBgbLkXvwAQI+dz6SQLjOgsV0Rizltj1sO+Ny2/08Uhg6WYRcV+TZyr
Kt3Po+LOg7lIBkVgrRDGuibIA8gkflZmGdeANnJ48fJtEHV8IIuleWkTqZPEPLETGSE9YoSr+JUA
f1wpkDKmWmS5gqJzJUSCihyndtiOqQGsyUVlij2Cvm4Zp42pEQWlCdjECwpsvHQwKFUNqcZNEAaE
ucM4OZrvySXZx8t3LfvPOtd+WDMjk6Stef8HmkkzjWHDJPsShQVEuuQq1ZfuCiMPiX5W+d7XYYP0
sIVuqPJj0VRPOpuzbVrDdbcRq/cshRG6ivcubkvMe45f2dO4acWyn83+G0YCBYF2xp9MJhlhZyke
grp95uNy08baQ545H4VGyKohsycabBwU1XQBkU1kFUKUzaiwLwO+O07le6lsbqWeIteFHpoJhv6L
4QB67s+o5B/SJc78pU9enMzYuwMpqEbIlD00f+RTqYGiig95JBCa4AVUOhDqQgvve5AlB1jTXE+u
+9GNkP9lOT66c/VYVzxIYe36nTR+DkJcD7aGujN3zp7oLo1deidb7wIkS9UVJgXUJwT7FnJ5GAgu
BFKLtBbEJEW8G37P6wgepKkDBJ/troaTI1ApPPPF0zVfCd7DsirZpkA8YrjUfTZLdRcO2mnQsjIo
i+TZ6YufNdlYbhHeSOW+lB5lmDS7L6c03rOi+8l4497uhn2shpu4DwuufwetdBjWEMo9m3V8eMhI
wZJttm+s+cUjX2zXdLD8YgknOFT6T+KRGGw7Js/mkO7mqL7NKu1su7QwpVtfQgfr65IXF0SI33ZN
0aus/tsbTPjAIKGwZWDJAqy6i6mpy5H8oUXdRMly6bB2tHU+PZStuKlld4nt8cHL9T0BzQBTI/2q
WrR6B6QfsBg0J8etiytaVsKSbAsKhV6/6gMgsbBlc+GaHW6wlU0uOCDG5uAIpnl60sdw0cbzooU+
27PAlfOPJAUOlhc+Vcf1wpIbkqwPFmLHKQMkrExrsn7TG1w6+zg3b4yZjovvXGyrMMVyQsKC6gZq
QRN+E1QtLIcbfoW+3TA4NEaMT3a8BPMyJheblTManR54isbuUx/oTmxqN+EM50yfnI29MEghL6On
nLOg9KAHAgomt6pFtNNLc75Jps7dZUBZzNaKfc3Rz2UlvmKxwjLcPt4Xosh9HrNun0mP0qj7Lhqs
WCVBaNu8RXpa5A7CtZCs57HRAOaayXXlzsuNZ2cDefZYvYTTscZD2+1A9dBgmm6gzDFQja2gspC2
dWN4KNLxc2ZZvGua6FRW2lXXtvnPTJMIj4oRfW6nvDuSYF0Q7nRdiCTGwkZDcphV9RPQQsEs2XCj
K6it3cUAFLuA19xp+qrbVpwPoyK7znpak5sMWSTXGptq1lzYT2JjZzUV5To12USRymltTYb35MVL
lnwkbAxg0BsJHb51X5buwxhS0tf0w5NhnefC9gLweD/U6hgTpbXn6H6G7HZbqeTDnlnY5MK7jpYM
ommWPtfsODd1a7J9Zsh71ZnhK1KSb/KQgnAaUPJT9TqsKDX07hIZyLpKNNbZdMYJBpl5hnPMRved
BG2SNRYM6GNlA/Xrx08rIY++XVPD4hLqWJy7L2RrEZxGzOETMznO/cQ6R+DGMPBTCnKcXutrrMQo
BkZzA1EThgkPLluWn+0aQ9HEOLKXmFWlXiLia2Ds8K8EVxgKREBIloUegVst2bBtFTkXWoHbyXEo
PknAGBLs/skaikE9ygM5lId4DcwggChoLcNlS02YBvgUbERrwIZRmCgByNxo1vCNjhSO2KX1atCg
mV3+02POsJFEdmSJ0tAeWo+ZmQfkyX6kEV0qIR/1Io6dKtmrmoRBo745rR7BXOH+x8il8VkLCQdZ
BpbXkpOihkm1ygpace7WNJFIH9dckZKPh4fZPklvilT3WIzI/DjNTvHeRESUxAif2SH+HNfwEocU
kzSzv8UaaxKvASflGnXSQ1NWZJ+Ek/7a982tZhjlTZLMGjZZglKmNTIFa7LhZxA/fW8NVLG79rEc
ozt2x82OT3h3HElfgR/y5cbtC0CyU7vGs/BjFH62Rra4a3jLaAHE5tYl0GVAQWHWLB/bPr2i5+GF
e8O1F4MLHGAtaqW7n6Dc6A6eDGu470iOgYFxTkiSoUa7LQxGrRUZM8Zg3OpkzoC2wVDqpi/uOBHk
xeVUp9bRWYNqEjMNOpJruoFlgEBZMbfxSy294xhap1ToNLZr7I1g1stRRx+7RuJM9gArebzEaALK
NTQHV+Ft1bjuhkDO5//0u0enXfA0ZsyCTX15i0YewEg4N+bABj5J7RdPQdYNTe05l/yCLO8ucdHr
9z2LHVTvRikuXq092Zn9VKwef+waJgqdqdUCIsVXPed4Pw0wm4Q61AMZeqFb3qQDck01hl8KHw2M
tkf0Ay5iHtfZjIKo8wGqb+uljzrsu43RoBXVnTzIcF0bufNZCINQSj06J7h3mJwcSXVjCNCmxL1n
2m5SzhugsRqvMKYMIjMuaW6cMPMGS97d1aX4WuKUdBGcR7OhXhmyB6wixt1/TKcd7GEO4kbJGPgf
T6fvq/rjv/+3f8Nwev0yv61zXZ1QBfJldUa/5moo+22dq4M6478yfEYZvm5af1/nIj+32bEhmaRP
E8ytf+cDuA4YIBQ9LIjZAnt/aji9coP+bp3r0AwaCNmFY7vMPP62GytnVaT9SBkZgjeF9AJranqa
xuUEq383N/IcJm1gSHXVsEw0ra+RM+Fu0Z1j2YkfdeH4eZl/KdYvySACs01fR3O5kqSz5PQyAPoj
+P0ypsV6EOI7iuvd7E4xEEwmyjcRJFA/E5KQ8iAdqjdlpod6Jv8H6himfWqGiAFhCnlQs8tbKJxX
bZFdc31HdkV+1INXZ+d5JP9LNMcBUt046zeME5GFkY8yvXsyeZxYRbVreaMuWRK9SMoAvC2qhz4Q
MU1qUgKKmmodNMbucugGTBn1QK7Top00T5yJoNoV3fU4O7foSkgZwJiDxM9hRBkz50lzeUYn6bss
5qzYOxQNNdJEqgsVZGE6ZL1kL9D+N7MHs7PtmQ47ARNcLtEqIVac7Ja53upV3CL7W+QGoeERSdee
RXiAYHNEr0o7lNsHy/70Rvavcb11meSxZiBo13py4A2aSzMHs5eHNxFQ+1fak26WfeBF65zHq74z
wuTajmCGacAFyx4ENTWmZb3FcJbGqEis/EyRSyILy8xNOjhF4I2lT/gxPih0XLMFYawlHQuXU3hS
EMGvC73Ecmtz79Vc8O7g3iy9NV2HAI3ehJXs0dT3BzuUx4EYjm4knhW9am83z0lHYnMG5wH/PX6y
JL2a3Jee93EN18wtZ2ta7m3kWrupZUAuGSe7xLThazeALV5sHkC1EFtEDoI2hT6pultlPUyQSqE6
4EFsdmlm7qCgYpXviIVImW9l74nLHg/Sa2EkJwXhTsDczJvqwcFz2VIPSBRRcX4XmeGWt1nPX7vV
h4dNfcYDRUFtXPQye9A7gVJ0qOadtAVdDrv+bgUnNPNkHqRm3oqkCkqvPq4SvrBAG6SKn3CxFOU1
/cJIGl30IG1CQMX0064oNNe3gWvhxch6ute2wDkJdZCtidGAcAAMTIlSeH2QetNzpbLrkDs+ltyd
gDyuJV6mPku3tupBp0oYcu79NH5ZY/SzU/fc4sFgv5r6sE+J/AVruFUO+1aAQ/WU+R6PV9GJbWmG
8mRFimgPavixJYXUeg3ZgYewfUaw7N393JRbY74ote8T7TgSDZcuGpg5SMUo+RmOAmp6RXWKbRrQ
K+NjNTMEqOZ+l2Bykz0PUgvEN8ku3Wo2FBmC1zxIhO7X+W2+AHbuTKBTycE0SceiUgnTuvBRLflm
Xp6GJT3hVPcjXJG6yWRoZjrqKX8w42s4gGfctqc+pWepR++ltZt8p1kJlKwkZTv/pjEE6KvRnzkl
UpRtTkFmYAve3ym/emsXcYO2TR109ry3moWsqwyFAIJa62ug0AkJnLEECoLvFQiLbSJwSCfTJ6bt
JoLtwjqHUO1npK0ucgmLUlb/SEKKe4r20kYxzAF4ydu2eTGw7iftR8kU2E1Qb5p4boaeFKidYIq1
dwxsKWk2/dDH8FGRxIEe1LrUaYEDxEVAaww/w654cRC51o26eJLeBLLTg6olljpw4YFul8+tq70g
BMA2Gpc/nVx+L4N8WsgvH+FXkey7Mp+WGFdbFxMSQlaUoZpr0oi3IVxhmmB/TrC/OMywMsjd0y+c
Q2LclmLfdgvJvB4AmR5xd9sC5SVOwFN3LHyeKntm0E0RCwkTUlgP88WpNeQfjJCHFg8dWP0EMJY9
NG9k0JxTFpcFAwuE5NVGoaZ0ezCxhfVY12SUOYX9nnjXJaHKiYgPIiKkQSzgNpdVosMwz2MjKiRI
Npt2H8rLPKhtSkyOWz4pyfSLHOsyykl2TRRBsaSMTO2CQw8wo5sR8J76hau3QaHrKBEBndnO09Jg
t4zdS5dbJ2HVVPO0RK03w2ZanOdYdC0CHxX+H/AS/73u900qiH9cQT0kAMC/Pv75PHv9Mr9WUNZf
VlYSsjfMHubf8RJB4q+sJIvpiP0LSfH3CkriA3QEQBBHWDj2/1hBwUEysa+sZCRXZx//ZwRxzr9Q
QRn8eISbCox//9Ow8gdeYhEV02wukt1XvxTbeCYWUCKj71a+W5QhbLHnea/JYsbEmlR7A6fIFlbH
VdiNBwWHrGImZcjIh+TX7aeOKFPNRm7dEJL5Orf9OnVZOxs7zf264Q9M8jS2XZEclyRCcwxFQIHq
D4CubJTh0dI1sJhTbnj2VRHT82IKRtO+1hE6XeOGf5OpjjsegbQxVcTPFMy0VEd6NZMptw2/i3F8
YlTI8E3blSwwI6ivIb8G4rFDYzfZ7bcsiMHAVHZJDa86o9AmcgZPcJHPV+DK+ZgmHaFWRHy6hmZs
ge6Qq+7dO7ERNEtL+9g3T0KVn0ZGLE5mmIeu03Z9J8iiL6kjCZp76dd9K4KfTQzLJxLRaaZE3uVR
e2eV3TmO3deQaTfscTfel7nTX+TANNkxih/zkF0inewVhvxnuxJaAJ2LTprU1E4hDCrD0QJo5546
7BLYmOQNN+Fu1L1vao8enJ9xrSy74UtTErkxUPsKlXXpuS8qdW/HnrisZjG2Y8+gqcgIZwmtuyHH
fROXeAYymw62tMOHzKIPXyY92iZFhOVQSZS3Ms322bqSRCotjxYDyn3TTPY7Dp7Yx0ii/LyNaYk9
Vn5xYwSIh3MWfe6x9FIKKTwi/mTRWtchHCcS5k+qdS6R8HBH5tWnGeMykcWrLDXBXCT5FLX5SNux
V6O+W0eG+JxZF0ZjsDRUDoYrDg1/vC17pIsFWIHU9I2peBqALFY9GWR0DBtjwT4PVNIvJ+LPJVMc
qr4ori5VnV+PLs4Ee5zRe1EG9+6ZAb9Pm0DFLeNzMatTydNvzjg7vbB8tCfg3gqWRYsFMjSOKYvo
Vlj7nvUMA8czkYmHuLOPBspJR5U0Bg0+zxD35oQojb7jgbCVvUzy52VpwUz2wxIUBnQf2roCcjBe
/2LpHomC8+eMQKqIdLQYJ4aQBaYn5BIE42GQArrOEGhkzhqRa2GsXqoRUxVJhsesGu4MzFZdSG1o
qOihworlFeLBwppl5XqPCE3WWxFFWK7G9qXOKUrYL/cfxuruGqLxf5B3JsuRI+l2fhftkYbJHYCZ
dBcxR3AOztzAOCXmecazaakH0+fMqqzMrO66Xcors1Rr11UsskkE4PiHc76zM3zamVY5vyYsYGSY
ApZQrrBZBk+28omBmXwcIVcFGMgkRrKiNZttj7WsnMOzOMJrxhQ8XxAFf4ixoVUffrR+AK2vPGpe
Mj1YjmyXgotPTk11439Y2oIh8zCU43PrWmQCGN9mDHCpcsK15JgnsnIXjjMY3FwM20p/FrfE5Skz
g31rkNzJFLBD5pg7SG4Rd+B6S2sGSWM2k1vGMVEp4SrWTCWs4T6PQkU4VTrXCsGr1QGWVwpYQbnt
SXT+LnrDDq3sqET5OnpN18yu5rai+q7ymH6tRrKoARLPVeEVR5+Z1616EV07rjwak3Ae51iCGMgo
9Weo8+uhYQfIuq/bhFIES0AvV05Y1GuehEAuJXpPVncaQuAieoyt+CGlvB3bcVPbYtfzybKo2tpC
uwGkHKFVcOSCceBJ2AFZJWtp4NpU61AL2gtDVeNpT10WUahbFOye4R+DsTyjsmqWHVV9jw8jo9Jv
8nITxqohFTktr4K+zpKEIV21CkLLnJvcbViXtWTCV/cJLcekSnbGwA6AJI9dZoUqK4AHTVA8Fh3X
x6XhdcPbgFihUj3UOMTxm9b2I3Jn9yJIyaiGgSV4eqriLKcdq1RflvgwFQwiTlYyRGMi7bZZ8UV7
madasLfFmF19vLFV7mXwXlx+od0QfPkt2fGHf/yPf9fqxWTS8hfVCzkRIPzf//PyRf2cr+pE1yY9
AOG9JXh/KGn+bwMgQUIQ7gwXNytnFLyBbwdAaPUtvomwEMSLLlOj3wdAKiLIMjDA6r8PlP5G+SKl
Uh9+DzQCs8ZgSjcENYxpoiP4dh3f6F4voUR6Kzs0j5jWdkmsmD8VM9LWJ5+drLgVeeDsxXpJurj0
j1mP6AeVB4Ntszqz2LlsyQOCRZCoPigwQdxF9/1goTuuxjNTAyo08Pa2EFQnSXc0xHyY/WRbux0J
ISW7dU8F1fbOXkf6TPYkMRGEvlmEoNedcZrNKdwXyoTYNM7Rx7w4wtw1rKxIBocoq3UHRHbkCGXl
VZB6D01vHpx2npbsB3ZGamHm6ld11OFJleuQ5cbIjCBmViBSZ4MX5jrCMxAm9d6XFkjpfOdE05aM
6peWyEqW72SJJDUdRc4+QbjrImHDPydXIyBE4dRqXt0vCsfa1KxwBsItQho4JdFOc2ct6nkf1P1K
wh5CDMHKXp4EvP28vD+vqADzPLo1ScHcGCasm7GNCBcqfALNI1+5KEiNOWNxuEokv4Qvhqc8ZWus
aGRLz4HbJsZgWeXKvsMQeUApiZUMZxqYgnniuMapPy7KggVHrguyzHD1bfSi1FczSUPlmpGNvXMa
8zWeiBCIGOrAcPA5/JRWsYLoOGty3vpdec4r/YLeaK8lsEpqBU/wr/oQKAPFKYVPrLxLgfaSxwE8
GgKJUb4jGpfn84xwawQ9JOrkxMeWCzhgYng9mxRJWbybc4wCuMVeg4++uwG7okcT4dXUOWZwFfj9
hr35zjSeKp3oZtMPDnrmjgsv0YmUCOXa9acnGZLM4FuoEydf26BBCFeGQ1sIl+4UvBxveZ3xxxQO
7OdLtPeD3ayGuONFxQoxb8l+1nPYyO7Eh2yrDSWb+W7Bw9qvrDh7dALEtJqnwaWhhEQ1zPvZw85d
lnq9cPSJ+JpWg/jTW0c2KfHOSuBR2vADE3tOn7UUFa4sy8+u0XAfFUxvwpFdumtNNyWvZEPv7mbL
33MDn0dTe+HrlJ9Oeaw1qEmxwSZUuDkMykQflzaV5EkSBycsLOgLopUkR3pMSSAqk5HiKbGWMR1v
qcfn9ES4/FCG8XuxasTwejeY3DDcp2LZww+uEN+ukpo1oBB2srdQ2loVFcSYAGwopzA499iZRmNz
nvXE2Ws6FUc1aVg96uuKU6AYiVHXyzrdkwPKqK6m0PXc5tK1h203OG+FNmzjNrwkrBcfuwE+NnQP
ltO8TUb5khkj3U3c9Vvgk5vSgVcSN2+xyuWqGoNhY8NdqDmQaeOYHWHYdLTwGl7CwC1vPK8yDxnZ
WmvpDyUfEZMyx4xZCYL2xgricmvF81mZYhP3827nCaCyRvBokgS7ybsaVWXUnYIq2MR5cxmxa5Tu
tBeEoC4Kiddaay0Ato2HV6in8sd6nd2Xc98dOJDvMyt7Q/e/5HjetS6skSjVCSdN9qNn3TDFJY9K
vy2K9gJGwp6R0X3sykNEtZzbOG/TMtglusWK2QV1TWSaVROOaCvr3yiDe69WPpwkQ2bYiQfJjujB
ssPqTuua8ojai/uzLiHEs/hyl0GT4Ga2JLw3Zs7oKLPxssn0l2Zmhe4E3rMTue+RcG84hY/NEJza
PXRyATt6YePOWIYWXCm7L7fExjB+tYa7UWJUMlN+zSZmUjci+NOb4cykN7MCRsRWf7Aj72ksk2Nu
66swlru2yA6d3Z5IxcNP9ZMqGa985u5sk09IGjvFyQLJJbqKapSahheoGPZ3t5rBbU1Ff+2M4noa
ixOqnF3kFC8++HG9Nm+TmMKQq/amESYSAJCSE+Jtw8YDpqw54RAfhBaf2jkTo1pHIGOSc7hoShxC
cR5C/iKmjPO0PfVT8uMLZ76S+kjd1ZoOvTblfpC7j27l3ht6TtBXD6Sdb1k1nmi20dDelBBJL7tR
LEQURSzr42vXHLRzyAvBMjf10ywQ773nvye0RcyKEewTK6KCQ3aAY26CQYLMKQ42oTLb0ItPKxVP
XI4cdbg8HyCvcnNrNK9l1r7KAFIPgdzutoz9K9+Wr3HR3Qaxbp60nXPb+DV/mC9uLRdyVA4yc5Gn
JMPOsFUHLZgWc+EcAbhCkIVbgIQs2lZlA1TALeWKGAlrWwzVvRzDQzrMb41pcgaRozYT7M71wu6m
Q95hVEJAkxUnG5Tw+64BKcaK/OhFxbVdwdTNXe10HhjVZajG0LLiZYfmMhbu3irCzyB/AWwCFMaI
V1yMXlCAx9AXrAGuBpYipUtaYC3RMaQTLtoatqE/HyOXNroJq/oxTexTI2cKr2szzwNP4UyHy9Ey
6bsCsxDtTEFMTURHw5+eHpOa/OSayVzVZT06BTRjVts8xZ6NxkrSEcOkDcwJ7K+VI7yP3pLMXIqe
5g9JgcueCW+Cj18e+28E3RijIfsgzCXsS2YYsvLECXUiY+phaSmC3KR6DYxwetzOy0B4J0WXXwzj
XC202djGfS5I4vOeyqpcBeSSHYxouvFY4qM0H08E1YijKL2i6tBcMJG0wwg3mxOSPV40zITgwssp
l6QfcM5FWnIyQBNYwxB4bRqQ/sP8HNb+VW2nD0lAjKwlGeaHEvuUUZf3dc6pzcGBJJqACoW4va7n
6cWu/eEanxZLtGzYYpvrkduh1gcCjkNseIn79LGOjWOKHWLRyLxcVtG0JgPbRKkzyoVToahzCvdF
6sOyw4TJoTqlp1kllLAPjUzeug/Imy5E1F9WfsQ+pH+fao3HomDNZ9NdRtY2ld7NaIi9GbBMLxHu
1VO4bi12c8gnjkJLDszwadd6i8gBBjSeRVFjpuM6EZNENMmE1iSWa5EbgDomOsluKuHp1yvgFGur
LFlH9CvbjhApRVes82/7oL6UusPb3tqGVrqfoV7JkFDtmHZ7EtdWiiQn5bBiai93ZpPRYrtddpXX
07bNAoQUwifAyxT63qpAVTOOXrs6iKQ2u4k4djVB89rg7Aii7GmSDMgjR1cohHJgDcFa0Ce+m1qg
uOJxjvZx4AYc7Q7rzmg8qxnlLeIqfCWfByh5/EJxvCuomFuN6Umt2fuwGvdaNZ2WkTkh17Jf6hwV
ieHS0v5/37sZX5Bvf6mjvnlOm4iOLG9Zfyow/h/f9FuXZn2iKpLYmQW3CZA0xs+/dWnmJ+zTHoZU
gPymJS1W+38MmfmK4fGvWe7T2/FNf3Rpus6/kHi5GU5bxt8CviEK/LFLozvzHF1iITOYMn+kuX47
ZJ7buBrsmGlo6tgbD0+11RNSLDjAPQX79nBwjVFIuyFufGO+ArZ2ZpX4Sk0FC+8YJBZIHvkf6k0X
CNz+NZI+EOOuaNeUyfeayO4tDQg545Z3r9C9bTJMJ9JIbwzc2GhVEaZZ7grPmuKRIjoyFN7cV6Bz
MqjIX44k6TgKg96EWXZWKTR6xyGzGxUufTKTcyfIXuIRkLpPegkhkMDVxWxdjJPGe7Vj2BtDYC8C
9Cs9MCIyvX3aCgsXdakRDZlIXpmGt9Fgucu0QSADS3SmEFjIom5IVe7eg1Y7um3L5A8WPOXdqTEP
AFChNPWKF4+Rt1iFiiFvKpr8AFa+VXz5Nkp7/hCY810wcvCDobcT/dzNO8rvqX0YANVrAOv5oDHh
ZMVrD8qEwgZslKLbJ/xfrzWA9x4NJ6pUtpG1+9BHAyBScDi8I27qoFyFJnU/V2bk1cQwvczHnaFq
2pkxUWc9VYCPFpUDq5Jz2pAaEI5WP9SKz2/Pt8Cw1eoOhNOsGP5tUoplkLWnGhiPZd/hQu8/oP+1
Ndy7SZ2Sz9D5N61dAoGLMbnSy1c6QlfihbYjeeZ1YdyElD9rk6N27aHFdSNYbm7bY+Xwn2PK+8XU
WiuJUbq2ios+5Op3tn1Sdo6xDoN6V8+S4Nu09ldYttJNW8XFMhgL+Z4FvliKxtAAp/TybtZIm2Vy
OLKl0NU+PepWU6pfxqKCr9HhBi/j8aZznWutLh+HFqGg0NqzIkpOeLjY7GlFhOTUygD0GSF/DiNB
4PuTc4hcUtU9+osoa/a1V54hOzuL6+59ruyjkTqreLL2ifGgNeYzf8MdaHw44xp78M6xi0utkCXv
Lym0xeh02me2w/CMkBq7ebNx45ngGV6NUptfZRkFJ3pjiHPbb8brwrHfx7Fc2y7W38J8GAQM6LYy
sstc08br3kObj25nhzdm74X5FYuSdWcWGzbjkoyD/iSjBt3O7Gde4zLBMxfJyRangz+j6PK88tB3
+lA+aAQgEvh1MFtkArIEOWuytfUZXvjBgC1gbBN7n2h0cAFYZXDKGcHmMdFCte69lkAJQ8KFdVIO
Rxcz1RRg5cd3N5/lA4RDW1u7bDbdwRtPelIN1+2MSiKru2zrRw2b+Aa2rT0hdI8xoT01+vjUWvHe
YXJZZ9MbIhpWIGDYVglKmE0doiOYI6QSC1M3nr02Kjd9Em3afsLcPjWn+cCEAaTWmuYbSBaK2UWK
5t7RMMHCmjkkg10tyzC46lB27z0jE59NZNNnnlHrKt+L1lUPamkudS8Xu5DlGSqWZsY15fXeqVPb
tEIutAg7mJ9ivaC9qeKD2/GQOxm0qyh0TrHeEvleYeP0nGgP+GaVYfPMddqlztILHtV0HyI1RJeQ
6mTbI75AuegfSlf/nA6SLTAcWsdiLDy12yC0/BOaUG1nSzpjEDFXsgnfBzEdohS6SmYBavbPat87
B2voLgaLX2BiJhXU3l1pVzk1W+2gmE4H6u98fLaT7NznQQ1n97qw3BtmyeckKj/omFAkfCeGLcr3
VTE7we5M9+c9ypQq12j7fCMspvZhRCLLxCCPjTqDjEl/1EwyXFvXPTFyeSasjhze+QK/HEpMW0Cm
Kg9aZb+Ew/SIln9j9d0Nt8MruYd3QTYtE+rxTtaPhFXjgoijG9uvL7q2TVcyoGudbSJmC5PRS03K
04qWdG/2OAK60FpyTl6iC36DS/1mCfBYpBvA6C47cEZE7YZu9tSp7N0c6f1ahOTxNiqZd1QZvZFK
6+318X5W+b2GSvL1KiTUJeG+Ws8bQ3eQu3MtUXEMzZGFKvIWe7gp85JkbBUSnE7FtlOxwT6lbeKP
j8CTYHoQLMychqNQr+3VmDU03h8BxOxBt7iFyEckndhD5RqTVpyo2GLeIi4jFRVmnEsiTeCI0Z4b
Mdof5zKyZ9hpZCDrSWwt52ocdx3nV1/58J8J2LBV1Mb/lcpt+16cP2fvzX9X4/zXArlcFITtf3z/
j0zzf5v2r57b5+/+Yf1RIl117/V0fG+6lG/9shdQ/+W/+sXfCq2bqXz/H//t+S2DpRo1bR29tn+u
wf6aB3D3TEP7Xj//4+/7KhBAe2sKXP66VNURG/qvEkv0kzqJAZR0Kk3pmwm7CxpAoLHElm/JL9/0
R+1mMcLxmIgL3aTy+1uGN+fPtZsJFZhkxg+WAFpPFgDfTtjZPxU+41sXOkxIEzXo2t5ymF3zq1cA
8sJjXFgD8/EWI8x0FHFyYnkt+2pnpN1jO0Dgy3QFpYB3vpadMlgkDU4fqPcEExMr905YbHcwSKYl
Jq9ni10Eg/deJ5PQClZhI+8YYu+MJr8MJgRKLOB2uhe/zi7vshlMn2F1Mx2fOKvbrsGuVKt1J9Yo
X2O+YsMqcMMgWlgB9PA2DM+GrAePX9X6Ji+mYZeB4dogWCWfBpIySzfDPXUGp9+Q6l0tEyeZbwco
ZosqciW5IvjRewhimmucUzGehNO4d2i/nRHZTTX2lHRGS350vfVo1XVvcncpWoFFTBvfIyypaett
SeBsS6Pf0/D3Hk9kGzPl7JugW5uiA3uQWjBr8vxIIhVzA7NsFd2QYcKsxgqTGjDUA6enWxjbMKLn
TZhCkFpeP6LqVoMJ88hcAK14Ma/xam0rNcQYmWa4IrlqQY1azNK3Rm8jxStPURMRwarGICbzEEyZ
e8boiLgZIKVMTHqmMiwDGKIUWr1zmarEQ37syClZEJq7r9XgpSPmaeF1nHN6ZVzpajwDEW6ZZHLA
I88EYR6T8pLqTIJ1Zr5TjXa0hUi5LXjTjqkx490YzEve+rTsnXeLCm6nUUSsoiBGi+VnSJ2Gc7V7
T2vmi1imqjU/EUU6CU5SQHTPMKpJSDO1l903enrrBNZDrgWfo0hDLtfsxOw86V5z6TOY38WTcUk7
fAn74CJN+tdumI2TEMLjItMVTKdzjx6A9az0nl3GswJyGhuWOENOEr0jzXrrCrnVLLjHjG/XEfUP
Fkj0wQllKnNqF9I08PSxv+9nJrJkU2qUbFjLomo+kXp0HgjK/1wjcWxG5xtPl5kT3Kayv9cnl51T
DlkAgSeZEAOxZcFnicdhmVrGY5kQppMw7Rr7DKK6nr5aUtqIB8Utr3570ZfRe+VPr16sneWF9QDn
sAAdMYlFHTBq0cydEetnqdV4nw0mY202d/yU+tZ3RBmwlC3eRO9fzdy1a7P0i5XItZrFjOQu6l2w
lpXvPvttROKw5960hf0YGEArg4jPXTO1dpWoSSHZYvWeyG2gCVpwzSCvPHdAnW4MnQBvzR+eLOCH
7wys7zNzfMlFd5H11TXok4F4Dot4ai5U1mPbEZXX8WwV1EalrOB/FvapLlBkBrp/22WeS3WrNEKB
fSNycyN0/yyfk5chrrU1HlcXPFB8DeLibvRHjUIrJ7oZNqAv2u7QesywGsN46afqgS+FOy3OxDJq
alItCiIcrBAyXows/Ly3enuFuAvpaTbc4jKuCa8c3+w5uZ+mlGgf3zhxXO26tAf4PJ4ajsY3TSou
C5tTo6gTQIzGjlnNpayq06iSy9x1wVU3myztLpwWDK8Z7DVjWpqIAieePLDpZ3qoYSnijES0eQpC
6ejXztKrjsJQ9jq57kVx8JKCb8jkvhTO1qjT0xrP3hiYZ1No1uvaCol10Rj0DJV+iwoTbhV3guzI
UBA90E4r1jdBCX/JSI490h6IhXCJavwzSdzdy6Bcl35K9qmdM7rUzJYCPj4pGbmqGHZ+WdTKqXad
MLlfRXzkHtoTFrVwUUISLgPGhSgOEoqnoT2IZgTNYjfjxjAildIEkXFCJRKuhsAkRHQKCOZmOMbt
fyrLinASrdVJnQMNb3p49YpY24zeuLXMaOfEGs16IiAimyObqBkfDSr3J6u17nWHkL9a5xxNM2TA
hlsmb4THkyMLqSnsjeJU1PWFn8Cumir+2ByeJQfdRS9P2XysBYkkIK20SImVud/L2TpJtfLE7W/y
1PZOKcBgrkEvaXlk+gvHcgtMTPh8sKTzBnIY84+tnW1IyWX3LNtzf6Z6n+rBOqP5GRmUDaSZVRnJ
GSb+gCnG1ZlmRbmFkxjitUEkI030Z1lnAYTySQ5TAlq7r17DbNrB5UephEQ5zmr+R93iJRPqX9lY
lnH3mUvCQA0wCiqZkDfvnBBkDImyOnQZJbhtOYdwTjl4OravDZYAbKfWcFEK/YrWBfH2DIy5sMqV
iU9qWTbxMY29pyYcNnEYv/iFvm0a5yJBnrrUYWFkxBHTYhAWOxT5Ier51LoaKHCYNpixDes60Kbk
tauKk3CUavBe2MdCR05bSUdeAswwpm0v5vTWbIfqQQt5x9lxfTvVcQnrzovlSf8xTs8JTps+EKZw
MffZ5Fyh2+l3QLL4O6xsw0L3MABAHZ3qxVP+83LYOUDqQ0CpqO7OIj6HEoCqlpEyEwk6MZSDth+x
L5vkia5XR4YgjyMQVlrg89S1UWIl+0xRWj1wrSwByCjFVO+Y07G3sJIAdmXDNy1bQlDXU1hOixj8
K/lmVD0BFjlb6WhAxPInsi0FGsurhmdGvEv8sEung0uGLcGD8rNIhH2ZpDMcneaoWeNZMel7HzAt
kgqmBXCmNbhEo2LX5kBsxx5U+OCEjy5422jGVcbXxdIAfRtP2TtRiebCqaHixjmfvteQIc+uwYCb
ywN7wgC9XjFpyneV04E9c4mV7RRx11fs3QGM0wyMlxakYIEJn9dXpF7xweyN44OuKL5NVjRbU5F9
Jw2xH6s+CyGzvALPNy4RQlMkmfZdnVtnA4jg0ooPBchgs9bPgUS2DJyT7YRAY2MpvrA9Oe4Stay5
1TSOI51mEzYKRGJ3Gp9NxShGDnZolR6+V/ziTpGMDZ0htWZO0AItUpcDoyR2xYsv9TS8zxT/uDO6
K9wxzaKdOn3R5T3rCHyNjd8fU8VPLhKoedy5aDFhK9cF7reeU2dTKfJyP7fphg8nXuqZMbMYJWeZ
mE1gzRHY5ljxm5mLZysLpPMU0G6BeBZGgcEe53OfTK+dgfE5Hl5a9BKECL9WMYSdXvGiYbRooAx7
0iBjKhKg0lUVkTlO+dp1vCPaLC/XTWW6m8CdlP68CW80q7ntFam6VMxqD3i15bFJBWZtx/r9EMUv
+OR2UwbtukGvW5NvwerV5sWRZuS09LxIS7tmcK+I2X42vgUgtC3g7iZCdglae1aM7VHRttHJVQsd
RanRkXGuiNxNm0GmUZTuKZiqi7iM7cOIJXiNgo+7ECHicuBdlkS8HRzTgI1oM5lCuZrzSqp3dtm8
92PwUHnuux+I8raJWHjoUfqSY1tlhjevqRm9VWIQaiyS5rY1HBi20wH2grGkPc6WOJ8TVXjE50wY
HvoWNKFnKMi4K1eGV2LZ0A3A0dolApltltHUk7ZJkcKa84yyUZVb+WtfjQc/cqHPVPhoaeY3XKq9
LoyXRNrofLCJCx9VozkTYNoGzrBOi/xl0sfLv9/8/pvl5X0F4pmEt/xzydndc/2c/K//+a8x8dSP
+qo6o+X14MGy0viA4n3tiSUBe+Bg2Wew2kVGRrf8+z5DfnIMm6ki/arjSdehXf69JwaXZwmdVQau
RAfYnv13RPN/DrCxGOC5Ns06CfLsTgwgt9/2xIHWGbhlgMBoPvwtPRzOOiGwjA/N6VTO10VBgZl5
IM4DcK5xK3Wwkf4NS5hpUTZIDGT4FoTBk4gYLjsjsmqHwZ5OiEOP0Dpmll0zesUdQGgcdsFofmmA
jOpteK5CQ6MxcpdeC5KjzOuDWdlbfyoP6LrvMB8qrCRneZ9gXcIsn2U+oif3JgiKYjlV/apEhgak
ubfpuiqicUaYfn28bBr7SqThozU78hSQK3vR/BJKwyaLi3VuU7jY9jLBs180M4Jj/xkg2ErGJKfS
Okcdg8C+QcrQuIchDA5WBP3ChGS/LB21B0HNdLAGctHNbobNGR7BPmBfjh+zkEmBCfcDNsimFITK
EORJFgH6Z3jjzYgQqIGQNgCsLaG4DvD/eOP5Sw1bntCjlVFRA1Zoa5HQVSE6DbtG3MTlNpIUyg1B
NTENMtLzq8DJ7szWWHbuq9DYYkCO3lh2cAv/Otob7hVmcyQKnJegVrZpo6FRZkm/RHK/lUF/nB19
MzamiwrA2Y+1EsI66AgSVyZ7MXXuslFdZN4m9+oWXZIjTT/A8Hspy+nMrqd0LT0tvM065Etep/Xb
MbPzp9Q2mzcCf7u3vI4/O8D12NaSGk8pXpMv43evlSYwjlUOQvQ6X3v1W+4kz8ybT1zNv9fNCIdc
egX5/nRq9JPMplHyEdu12aXGES17RIxTFaPSzh9mhntMUNbdFDfnBUkJCyM0LuyI4Dyc+Fs5ALyY
6ZXjGP65DWIGaN50JSPnTKZVu7IQKG+Lpt22ZDTt0KCoEuu68e173Q+vpMWn7NRInuJp+ffPzn8z
uS5uH+Z2gs0qB5yuu7bNTO0vzlD2vk0Zpc0/1e3+wx/420lqktXOMpHzEh8RQc5fD1LjE3pZtLnC
ZDHsEn7zx0HqfJJofVn+umh/f6RpsQT9Kt7V5d9bDOs/uo/+wYX49iAdMptptUVFZsnRksSCOhAc
YYGzDU5HsgTb5sZr7JhufE6YANKO3pgzrcVCYzh6q9vsPUgENnap6+vbSY9VnIVtEbzlOsz63eTK
yvKR6JOsPo3D8Y5WyF8gm+sYhmm3Y5go5GWCWwcrMuajfE3BwXk+s80MgupyKivcinb8zvmibfXI
m9kidzGbJ2Yygdue5pRzglOy6xHzeQhSEXQwlCvppeh9YC7wpTQ6gmcC4xIVl+kQI8zK3Isa7iHJ
FdCjO8yWXWu8s1nGUhCuLBfnT8WKKBUAH3AbPZJfTVCVhlK3apJwU5WyWKYFDWDRebQWfnzhm/Vm
QsCjzeZp7eLaLfpm32Qa0WlJBLSBDGc8mhGoIGBATPv60zJjflO50bo2xdEbRLo0MqrvHHPtGtkx
TobuM03NamjSY4+D3deHpyKq2OORwA4LJ3u024qdhaqwY/YjZtE9JpKBX5iZ22mAaJU0wbPtlrtg
APzFsBQlUr4fonpXVqxceCxeU5MtDNu3kwYY4SJEOowuq6FriC4da/ocatZVnvndUm+o802LCTTD
1KMwC4YDHuOkKbRu6DfJn7Yg3DCXvhCjMb9OJRZp4q4NOvrh2jf4pQJJj5ZWdbZqNMH4mWErfDXw
IgGwyoXdJndJKHPSyfO9l8h1wHavd6L1bOh3Xjnnq8zWWpIcJ+Ranr+AP7iv2CmVDoo0t0C26Hh7
jtlnV8rX2hxuTDZSraY/1poERFMeLF9uGrW6wlt6NZrpCiPoOcjm/RyTEaShInBZUE8k2iwCtQij
WQe35SJpdtSaLGRf1k/ouyO1QiPjjWYqItaR7ZpnmQ+8fs5Ltm6G7RP/iq6abVwm5+dWredqh/cB
3nR2diHbuyHGlj6yz8v72EWbp9ZK2lnExi9m8xcU42FKkneDjWBQ8ArM1ZIwVOvCiUxrl/3hNIlV
phaKFZvFMCn9QyhTZjhq7RipBWTXZ/terSSdAZ1sypZSwFDw2Vr2an1phw3Yswr8kVptemrJGbHt
TNTa0x6NJ833X7xJO+V1czIkYj3awDubArcUO1IqCijvOVmdapFqfOxUM7VeLcsY0yDNz3hWQrH4
TOx1BFY+uErVarbXjIOrlrUjHnFNrW9tixt0sp11pla7hG+cwltl2cvWN/SLcoPb4DkPJBvh3iWt
PVZr4iHQ51WjVscNO2SXXXKYpvuW3XKilsxCrZs9tXjW1Ao6/1hGlximpYwPzKVRv/bF2lMra7eo
NjSE65o1/KyW2hNq+43RQqNze6CqbL69xuV6BW8ww85MOZ9nbMgN1P0pG/NWNPZe+9iia+zTUdTe
6bKRJvFNZUzLmntTsg1RYZLNzOo7ZkzTuN46Am55V84GMD1/0MjlouKx772s0D93kMrQrGoOmexV
lbNpDgHi2ZiilnZRrEBsPEYsr9h/hj6vfsgOoWlfyzyDWJBvsAQU8GGTNYOipT5gCQVdKPZZXybb
0ZqLE2yF887waOWxyz8kZiQAierOFj7DYyp85iUBKv9YqyWh682dFjCEmBVvNgjJQPfFdGrN7oWH
AQv+PWGpMxDFKPIS4kFYnSeO+woyokMDE9+3uhYx5na2M+mOe5bXPjLYBBekeUYQJSIiue9D8sJS
/OXpmsIrIvsVtedl7dTJWWMFfFYOvKgsCShBxeSuc68IjkaNgSSh911FJLEQjUvl3xVQeCGnyZNB
+uLSnAfrqR+S/CZDBcIWuRnuGQYN20aroRWHZnfU7QYwgDUwB8FAiFLZxF1CqCS5KsIvnhsx35eF
wx64z3BY2Shiu6Pd3tASgxJIjgSx8CC56bNIgmOLKqkwtIcgj/G41N5W1qH+/07l9c16909L2y9e
LqxeaqV7WUR5e0MLopRx36x9/6X/6Nvd8J9/0Hdb4Feksa3aKQdRkX+3zbV/7H8/ftLHr/JXPyF9
5jfu3lgwC9ilwkYFSIcqCWRVC1jGDMFvXzbtT+x/dYoxqjfnS51GrfjNFfrzr/7n1ff/2X/z3R/w
nyzCXbrt72rYf3Idfvgx310HSBM4ybAOkx1Dbfr9dbA+6SZGeMBCLKMpmVEr/orXQVLi/vR1cBhw
gKCx0WAyBPn+OtifDBN7MzoURiCIA7hMv+J1cJiJ/Ox1ENzxTH88A2Xrh/Pw2+dCkBlkSINUIISq
v+Jz8XVE5v0o7v3bj4b4BD6C7BxEuVIFJHHvf3sp5CcgWA5tHnQ9MhrVHfMr3hK//V5/CHL+9nVQ
5lHWiAzf8DgpRcqP10F4HrcEl4lu6+Mk/SWvw08flc4n2NgMH+0/omy/vR+4TMLS4VQjBP+NHvJr
XYffHw1+wZ89JfhbDZNJLIknUDRU2sl3j4bNlEPqRJ2bElAdUvZf7dH4/VKQ2fKzl4LRuGQwjljr
64n47V0hPqkgGcWTQR9mMXf61S7FF1eD89PXwfkEysbAnI5mArP5j6cEYXNo0zgxqSLwjKsv/1pP
x5fr8F9xP0APsk0M+oC0PoSAPz4ajnQoOv84TH/J6/Dlkf2Jt4YKWKJi0oXHy+PPBbb5iZuBA9PT
dYPQAbVR+hWvg/zpgoqjksmty/aMv5ej94e3p+ClokSoJE3JX/g6OPRHfD4/dT8ITltm3/ii1HSb
D/zbc9IhSwKxJxGWqrrmFftr3g/qTfdz14EXgqdjLUBFzFmJ2ev768DO1DZ4MLgUHJUfeZ2/1nPx
x6vzyxH+c7eECW5NsCeBrsZW5PtLwa5E8U8Yp3r4OT9MdL/opbD/C05L738zdy45bhtBGL5LDkCQ
4lOLGPBjEYzHsDEOsqcsYsyIYxtSaMCzcja5gI+RfU6g3CtfNR8ixbZMpbjopS1NN1nqrsdff1XR
cRsxmES5xaHCsAZ4VCm8c05No5XcgyMaeEB3JCTy9H067SVTbUnFZYgiJXkmzkTqrBwWgCMyKg1g
PMDIiKH/n8FTgbdGmxKgS3Fn0+vZ0auRLqElUAMpsSfThsCizkQResQXobTCJi/aaGeX7kWCL0wF
m9qNSPjF11QbRyk8GnzsM7MRerDNozTkg4QaFDLETrpT6QKKklxSxPVPiLWFVDS2GcToND/3wa0C
SJjmY1cvhjrignlF+/ksXeMxibPAGRt6VJG3WqMi0JYgeg2i6agoJmy2qyEqgg1IaxTVx8CTDRY3
FIXEImHmE3hhZFe06HTzdshwdn4infkEjKBEt1eHQzEEnk+9OfkMKt+Mn+GmGPQmAyoNJEUCLnGY
CK3OlETkSQnfKqOFnuM+tqh57YlAS5LeYUpDFImNHCsJ0CvpEYGvkRKtr+Vjt5REA8skC9wMgOuA
AYeglmKRMUTDq5F4iAcQmzCc2Mt87JYc+rArWSASlzyXT4jZ+I5nkXjoSSQSEGfAmnQ4El8i1gjw
GUkCU2t6DmGDV6JCSO6AZgYMnXTVoVrgYgivO05bWEaAl+HFIBEOBxoPmzDD7YshrVC1ujJFDDGu
AlYSSO7MoQo9/Cnoo37mh+JGOKorpdm8Vg4CywBPgTiQ8pfus8Mjgd8ZAfLTWL/hqTb7ORR09boy
WsB8ArwQdYJiZxCH4zOzkXormjiS9pPpSlQDOofL9KIIFxBFBkMCJ9qmLsn4xZSOJODcNMIiAHXN
jzgJQn095Edfi/lcoyIaDsTwekRevIqbnIbB8Rz1I2RYhk5NkNkAyacDPt4CQ2vP1WUEw8pn/jPE
CYJ1047aUVFMGnhfHX8CO5DgBaej+wcIleBQwyORIKmIfiFAEhQw0b7btdvRJj/VOgKviRlzCbFE
OyllLIeVhwsBlSwiGkFVtBbbIcvRRhtqlCqlKC6VBCe5/3AFMWAsB2EWxTAkwAZTCTfcPA764BMx
oBiIIghALaQ6yGS4EZhNksAkgl0FLbPmuipgGVEPIA7ChJnohsAj20ETcB/0ysjBtcNgrXPSWg4i
cIGzCbsIRcVbGKrLwMsSDg3kIX9FQjhuYpxZamLGl3qW8vP3ZbU1JOayONhozN/7QgfRTT9vubum
Wygc5dEXpbNVs3dhiNPy7ycjYq7hFw8+7PjGZp/2z9sXnG492qt7q+4/f5F+WPt377+YD760jylN
v37+6fh1O2tAqaGNnZ5u0qSrPxKXNnuR1/c5TXGqw5DP3TtnQtrUbsGsyE357195t5L8GP0G0gRV
u8HN8dsu31ysDTztB8qv3q+okNmM+WcCnGo3O/5T7OZttsCb3R7//jyvSl1skfbVXh3/3NefZgxi
EYhNu9nrKi/nDH0RH0i7193x22Oxm7ObBMTq3a4aaNyruv+nL97mVX65DLe/ahLhat/tbV5Xu31+
+GPGvGZpGaje76rRhlpZXjeJSLnb9U0o1BtWu5HSPznz2p/prry3rbzAAXha0Z/2Q9GdpFObcZm5
pH3sHzTCVMr7eXEoR1a8lTfesvbBX+Xbjx9sEscT1K7NxKQN47i6hQYSX8B6Psurz+V0aWFXa5/7
tt4+WkQixEzt0neFMR/dQieRSMmLdvGXqNMKj6JbabA6YbZ29Tf7oqxsEl/gbtp91eaUS7pI++xP
Gfq1z+tdZTmMgiRr1399v7etvMAdui0fNvmjTeyL3KH6YFPkQs3XiuTFx01hE7dAMNq1cVW2tUUh
Zgsc85f0qbXaIOHNax/813pXP9gefIEzfmmIhtL+/MZ7G9ewk8BJswhio5XKbVl8yn+3qC1h6WgX
v6n3D3i23ULmyU9MQe3qvWSu7F2j/EFumjh1+FICeCUxeRJTAQX/X4iQl1/PBnD0lddT2KOrurb9
2RjTkW+8q4p8/+Q/AAAA//8=</cx:binary>
              </cx:geoCache>
            </cx:geography>
          </cx:layoutPr>
        </cx:series>
      </cx:plotAreaRegion>
    </cx:plotArea>
    <cx:legend pos="r" align="min" overlay="0">
      <cx:txPr>
        <a:bodyPr spcFirstLastPara="1" vertOverflow="ellipsis" horzOverflow="overflow" wrap="square" lIns="0" tIns="0" rIns="0" bIns="0" anchor="ctr" anchorCtr="1"/>
        <a:lstStyle/>
        <a:p>
          <a:pPr algn="ctr" rtl="0">
            <a:defRPr sz="1100"/>
          </a:pPr>
          <a:endParaRPr lang="en-US" sz="1100" b="0" i="0" u="none" strike="noStrike" baseline="0">
            <a:solidFill>
              <a:sysClr val="windowText" lastClr="000000">
                <a:lumMod val="65000"/>
                <a:lumOff val="35000"/>
              </a:sysClr>
            </a:solidFill>
            <a:latin typeface="Calibri" panose="020F0502020204030204"/>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_rels/drawing4.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png"/><Relationship Id="rId2" Type="http://schemas.openxmlformats.org/officeDocument/2006/relationships/image" Target="../media/image1.png"/><Relationship Id="rId1" Type="http://schemas.microsoft.com/office/2014/relationships/chartEx" Target="../charts/chartEx2.xml"/><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 Id="rId14" Type="http://schemas.microsoft.com/office/2014/relationships/chartEx" Target="../charts/chartEx3.xml"/></Relationships>
</file>

<file path=xl/drawings/drawing1.xml><?xml version="1.0" encoding="utf-8"?>
<xdr:wsDr xmlns:xdr="http://schemas.openxmlformats.org/drawingml/2006/spreadsheetDrawing" xmlns:a="http://schemas.openxmlformats.org/drawingml/2006/main">
  <xdr:twoCellAnchor>
    <xdr:from>
      <xdr:col>29</xdr:col>
      <xdr:colOff>231513</xdr:colOff>
      <xdr:row>133</xdr:row>
      <xdr:rowOff>55620</xdr:rowOff>
    </xdr:from>
    <xdr:to>
      <xdr:col>36</xdr:col>
      <xdr:colOff>235323</xdr:colOff>
      <xdr:row>148</xdr:row>
      <xdr:rowOff>11239</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530225</xdr:colOff>
      <xdr:row>9</xdr:row>
      <xdr:rowOff>160020</xdr:rowOff>
    </xdr:from>
    <xdr:to>
      <xdr:col>7</xdr:col>
      <xdr:colOff>605790</xdr:colOff>
      <xdr:row>25</xdr:row>
      <xdr:rowOff>1905</xdr:rowOff>
    </xdr:to>
    <xdr:graphicFrame macro="">
      <xdr:nvGraphicFramePr>
        <xdr:cNvPr id="6" name="Chart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521451</xdr:colOff>
      <xdr:row>196</xdr:row>
      <xdr:rowOff>684842</xdr:rowOff>
    </xdr:from>
    <xdr:to>
      <xdr:col>15</xdr:col>
      <xdr:colOff>155864</xdr:colOff>
      <xdr:row>237</xdr:row>
      <xdr:rowOff>133176</xdr:rowOff>
    </xdr:to>
    <mc:AlternateContent xmlns:mc="http://schemas.openxmlformats.org/markup-compatibility/2006">
      <mc:Choice xmlns:cx4="http://schemas.microsoft.com/office/drawing/2016/5/10/chartex" Requires="cx4">
        <xdr:graphicFrame macro="">
          <xdr:nvGraphicFramePr>
            <xdr:cNvPr id="2" name="Chart 1">
              <a:extLst>
                <a:ext uri="{FF2B5EF4-FFF2-40B4-BE49-F238E27FC236}">
                  <a16:creationId xmlns:a16="http://schemas.microsoft.com/office/drawing/2014/main" id="{456F19E8-3FAC-46DF-B4B6-6F903D0DAA2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176001" y="13346742"/>
              <a:ext cx="11483513" cy="7652534"/>
            </a:xfrm>
            <a:prstGeom prst="rect">
              <a:avLst/>
            </a:prstGeom>
            <a:solidFill>
              <a:prstClr val="white"/>
            </a:solidFill>
            <a:ln w="1">
              <a:solidFill>
                <a:prstClr val="green"/>
              </a:solidFill>
            </a:ln>
          </xdr:spPr>
          <xdr:txBody>
            <a:bodyPr vertOverflow="clip" horzOverflow="clip"/>
            <a:lstStyle/>
            <a:p>
              <a:r>
                <a:rPr lang="lv-LV"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375497</xdr:colOff>
      <xdr:row>2</xdr:row>
      <xdr:rowOff>115730</xdr:rowOff>
    </xdr:from>
    <xdr:to>
      <xdr:col>24</xdr:col>
      <xdr:colOff>79166</xdr:colOff>
      <xdr:row>44</xdr:row>
      <xdr:rowOff>146862</xdr:rowOff>
    </xdr:to>
    <xdr:grpSp>
      <xdr:nvGrpSpPr>
        <xdr:cNvPr id="59" name="Group 58">
          <a:extLst>
            <a:ext uri="{FF2B5EF4-FFF2-40B4-BE49-F238E27FC236}">
              <a16:creationId xmlns:a16="http://schemas.microsoft.com/office/drawing/2014/main" id="{00000000-0008-0000-0800-00003B000000}"/>
            </a:ext>
          </a:extLst>
        </xdr:cNvPr>
        <xdr:cNvGrpSpPr/>
      </xdr:nvGrpSpPr>
      <xdr:grpSpPr>
        <a:xfrm>
          <a:off x="5219640" y="641873"/>
          <a:ext cx="12367383" cy="7651132"/>
          <a:chOff x="8562911" y="3772112"/>
          <a:chExt cx="12164575" cy="8039136"/>
        </a:xfrm>
      </xdr:grpSpPr>
      <mc:AlternateContent xmlns:mc="http://schemas.openxmlformats.org/markup-compatibility/2006">
        <mc:Choice xmlns:cx4="http://schemas.microsoft.com/office/drawing/2016/5/10/chartex" Requires="cx4">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8562911" y="3772112"/>
              <a:ext cx="12054495" cy="8039136"/>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562911" y="3772112"/>
                <a:ext cx="12054495" cy="8039136"/>
              </a:xfrm>
              <a:prstGeom prst="rect">
                <a:avLst/>
              </a:prstGeom>
              <a:solidFill>
                <a:prstClr val="white"/>
              </a:solidFill>
              <a:ln w="1">
                <a:solidFill>
                  <a:prstClr val="green"/>
                </a:solidFill>
              </a:ln>
            </xdr:spPr>
            <xdr:txBody>
              <a:bodyPr vertOverflow="clip" horzOverflow="clip"/>
              <a:lstStyle/>
              <a:p>
                <a:r>
                  <a:rPr lang="lv-LV" sz="1100"/>
                  <a:t>This chart isn't available in your version of Excel.
Editing this shape or saving this workbook into a different file format will permanently break the chart.</a:t>
                </a:r>
              </a:p>
            </xdr:txBody>
          </xdr:sp>
        </mc:Fallback>
      </mc:AlternateContent>
      <xdr:sp macro="" textlink="">
        <xdr:nvSpPr>
          <xdr:cNvPr id="2" name="Rectangle 1">
            <a:extLst>
              <a:ext uri="{FF2B5EF4-FFF2-40B4-BE49-F238E27FC236}">
                <a16:creationId xmlns:a16="http://schemas.microsoft.com/office/drawing/2014/main" id="{00000000-0008-0000-0800-000002000000}"/>
              </a:ext>
            </a:extLst>
          </xdr:cNvPr>
          <xdr:cNvSpPr/>
        </xdr:nvSpPr>
        <xdr:spPr>
          <a:xfrm>
            <a:off x="17671600" y="11546262"/>
            <a:ext cx="1522580" cy="2448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4" name="Picture 23" descr="A close up of a logo&#10;&#10;Description automatically generated">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10337" y="8308056"/>
            <a:ext cx="221883" cy="246049"/>
          </a:xfrm>
          <a:prstGeom prst="rect">
            <a:avLst/>
          </a:prstGeom>
        </xdr:spPr>
      </xdr:pic>
      <xdr:pic>
        <xdr:nvPicPr>
          <xdr:cNvPr id="26" name="Picture 25" descr="A close up of a logo&#10;&#10;Description automatically generated">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94946" y="6127261"/>
            <a:ext cx="228861" cy="238306"/>
          </a:xfrm>
          <a:prstGeom prst="rect">
            <a:avLst/>
          </a:prstGeom>
        </xdr:spPr>
      </xdr:pic>
      <xdr:pic>
        <xdr:nvPicPr>
          <xdr:cNvPr id="27" name="Picture 26" descr="A close up of a logo&#10;&#10;Description automatically generated">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69817" y="7440089"/>
            <a:ext cx="211763" cy="236309"/>
          </a:xfrm>
          <a:prstGeom prst="rect">
            <a:avLst/>
          </a:prstGeom>
        </xdr:spPr>
      </xdr:pic>
      <xdr:pic>
        <xdr:nvPicPr>
          <xdr:cNvPr id="28" name="Picture 27" descr="A close up of a logo&#10;&#10;Description automatically generated">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32611" y="8150401"/>
            <a:ext cx="239392" cy="259936"/>
          </a:xfrm>
          <a:prstGeom prst="rect">
            <a:avLst/>
          </a:prstGeom>
        </xdr:spPr>
      </xdr:pic>
      <xdr:pic>
        <xdr:nvPicPr>
          <xdr:cNvPr id="30" name="Picture 29" descr="A close up of a logo&#10;&#10;Description automatically generated">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661797" y="10590224"/>
            <a:ext cx="223656" cy="267986"/>
          </a:xfrm>
          <a:prstGeom prst="rect">
            <a:avLst/>
          </a:prstGeom>
        </xdr:spPr>
      </xdr:pic>
      <xdr:sp macro="" textlink="">
        <xdr:nvSpPr>
          <xdr:cNvPr id="34" name="TextBox 52">
            <a:extLst>
              <a:ext uri="{FF2B5EF4-FFF2-40B4-BE49-F238E27FC236}">
                <a16:creationId xmlns:a16="http://schemas.microsoft.com/office/drawing/2014/main" id="{00000000-0008-0000-0800-000022000000}"/>
              </a:ext>
            </a:extLst>
          </xdr:cNvPr>
          <xdr:cNvSpPr txBox="1"/>
        </xdr:nvSpPr>
        <xdr:spPr>
          <a:xfrm>
            <a:off x="16885858" y="6245960"/>
            <a:ext cx="1403583" cy="290352"/>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"Kaudzītes"</a:t>
            </a:r>
            <a:endParaRPr lang="lv-LV" sz="1200"/>
          </a:p>
        </xdr:txBody>
      </xdr:sp>
      <xdr:sp macro="" textlink="">
        <xdr:nvSpPr>
          <xdr:cNvPr id="35" name="TextBox 53">
            <a:extLst>
              <a:ext uri="{FF2B5EF4-FFF2-40B4-BE49-F238E27FC236}">
                <a16:creationId xmlns:a16="http://schemas.microsoft.com/office/drawing/2014/main" id="{00000000-0008-0000-0800-000023000000}"/>
              </a:ext>
            </a:extLst>
          </xdr:cNvPr>
          <xdr:cNvSpPr txBox="1"/>
        </xdr:nvSpPr>
        <xdr:spPr>
          <a:xfrm>
            <a:off x="17328932" y="8778568"/>
            <a:ext cx="917635" cy="286284"/>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Križevņiki</a:t>
            </a:r>
            <a:r>
              <a:rPr lang="en-US" sz="1200"/>
              <a:t>"</a:t>
            </a:r>
            <a:endParaRPr lang="lv-LV" sz="1200"/>
          </a:p>
        </xdr:txBody>
      </xdr:sp>
      <xdr:sp macro="" textlink="">
        <xdr:nvSpPr>
          <xdr:cNvPr id="36" name="TextBox 54">
            <a:extLst>
              <a:ext uri="{FF2B5EF4-FFF2-40B4-BE49-F238E27FC236}">
                <a16:creationId xmlns:a16="http://schemas.microsoft.com/office/drawing/2014/main" id="{00000000-0008-0000-0800-000024000000}"/>
              </a:ext>
            </a:extLst>
          </xdr:cNvPr>
          <xdr:cNvSpPr txBox="1"/>
        </xdr:nvSpPr>
        <xdr:spPr>
          <a:xfrm>
            <a:off x="16394692" y="10211276"/>
            <a:ext cx="1008455" cy="274468"/>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Cinīši</a:t>
            </a:r>
            <a:r>
              <a:rPr lang="en-US" sz="1200"/>
              <a:t>"</a:t>
            </a:r>
            <a:endParaRPr lang="lv-LV" sz="1200"/>
          </a:p>
        </xdr:txBody>
      </xdr:sp>
      <xdr:sp macro="" textlink="">
        <xdr:nvSpPr>
          <xdr:cNvPr id="37" name="TextBox 55">
            <a:extLst>
              <a:ext uri="{FF2B5EF4-FFF2-40B4-BE49-F238E27FC236}">
                <a16:creationId xmlns:a16="http://schemas.microsoft.com/office/drawing/2014/main" id="{00000000-0008-0000-0800-000025000000}"/>
              </a:ext>
            </a:extLst>
          </xdr:cNvPr>
          <xdr:cNvSpPr txBox="1"/>
        </xdr:nvSpPr>
        <xdr:spPr>
          <a:xfrm>
            <a:off x="8599923" y="7985757"/>
            <a:ext cx="823666" cy="322231"/>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Ķīvītes</a:t>
            </a:r>
            <a:r>
              <a:rPr lang="en-US" sz="1200"/>
              <a:t>"</a:t>
            </a:r>
            <a:endParaRPr lang="lv-LV" sz="1200"/>
          </a:p>
        </xdr:txBody>
      </xdr:sp>
      <xdr:sp macro="" textlink="">
        <xdr:nvSpPr>
          <xdr:cNvPr id="38" name="TextBox 56">
            <a:extLst>
              <a:ext uri="{FF2B5EF4-FFF2-40B4-BE49-F238E27FC236}">
                <a16:creationId xmlns:a16="http://schemas.microsoft.com/office/drawing/2014/main" id="{00000000-0008-0000-0800-000026000000}"/>
              </a:ext>
            </a:extLst>
          </xdr:cNvPr>
          <xdr:cNvSpPr txBox="1"/>
        </xdr:nvSpPr>
        <xdr:spPr>
          <a:xfrm>
            <a:off x="9154703" y="5959691"/>
            <a:ext cx="850212" cy="302018"/>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Pentuļi</a:t>
            </a:r>
            <a:r>
              <a:rPr lang="en-US" sz="1200"/>
              <a:t>"</a:t>
            </a:r>
            <a:endParaRPr lang="lv-LV" sz="1200"/>
          </a:p>
        </xdr:txBody>
      </xdr:sp>
      <xdr:sp macro="" textlink="">
        <xdr:nvSpPr>
          <xdr:cNvPr id="39" name="TextBox 57">
            <a:extLst>
              <a:ext uri="{FF2B5EF4-FFF2-40B4-BE49-F238E27FC236}">
                <a16:creationId xmlns:a16="http://schemas.microsoft.com/office/drawing/2014/main" id="{00000000-0008-0000-0800-000027000000}"/>
              </a:ext>
            </a:extLst>
          </xdr:cNvPr>
          <xdr:cNvSpPr txBox="1"/>
        </xdr:nvSpPr>
        <xdr:spPr>
          <a:xfrm>
            <a:off x="14259012" y="5652104"/>
            <a:ext cx="739861" cy="291736"/>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Daibe</a:t>
            </a:r>
            <a:r>
              <a:rPr lang="en-US" sz="1200"/>
              <a:t>"</a:t>
            </a:r>
            <a:endParaRPr lang="lv-LV" sz="1200"/>
          </a:p>
        </xdr:txBody>
      </xdr:sp>
      <xdr:sp macro="" textlink="">
        <xdr:nvSpPr>
          <xdr:cNvPr id="40" name="TextBox 58">
            <a:extLst>
              <a:ext uri="{FF2B5EF4-FFF2-40B4-BE49-F238E27FC236}">
                <a16:creationId xmlns:a16="http://schemas.microsoft.com/office/drawing/2014/main" id="{00000000-0008-0000-0800-000028000000}"/>
              </a:ext>
            </a:extLst>
          </xdr:cNvPr>
          <xdr:cNvSpPr txBox="1"/>
        </xdr:nvSpPr>
        <xdr:spPr>
          <a:xfrm>
            <a:off x="13146524" y="7182059"/>
            <a:ext cx="885846" cy="303627"/>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Getliņi</a:t>
            </a:r>
            <a:r>
              <a:rPr lang="en-US" sz="1200"/>
              <a:t>"</a:t>
            </a:r>
            <a:endParaRPr lang="lv-LV" sz="1200"/>
          </a:p>
        </xdr:txBody>
      </xdr:sp>
      <xdr:sp macro="" textlink="">
        <xdr:nvSpPr>
          <xdr:cNvPr id="41" name="TextBox 59">
            <a:extLst>
              <a:ext uri="{FF2B5EF4-FFF2-40B4-BE49-F238E27FC236}">
                <a16:creationId xmlns:a16="http://schemas.microsoft.com/office/drawing/2014/main" id="{00000000-0008-0000-0800-000029000000}"/>
              </a:ext>
            </a:extLst>
          </xdr:cNvPr>
          <xdr:cNvSpPr txBox="1"/>
        </xdr:nvSpPr>
        <xdr:spPr>
          <a:xfrm>
            <a:off x="12059236" y="7860061"/>
            <a:ext cx="1382182" cy="323710"/>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Brakšķi</a:t>
            </a:r>
            <a:r>
              <a:rPr lang="en-US" sz="1200"/>
              <a:t>"</a:t>
            </a:r>
            <a:endParaRPr lang="lv-LV" sz="1200"/>
          </a:p>
        </xdr:txBody>
      </xdr:sp>
      <xdr:sp macro="" textlink="">
        <xdr:nvSpPr>
          <xdr:cNvPr id="43" name="TextBox 61">
            <a:extLst>
              <a:ext uri="{FF2B5EF4-FFF2-40B4-BE49-F238E27FC236}">
                <a16:creationId xmlns:a16="http://schemas.microsoft.com/office/drawing/2014/main" id="{00000000-0008-0000-0800-00002B000000}"/>
              </a:ext>
            </a:extLst>
          </xdr:cNvPr>
          <xdr:cNvSpPr txBox="1"/>
        </xdr:nvSpPr>
        <xdr:spPr>
          <a:xfrm>
            <a:off x="10670311" y="5764326"/>
            <a:ext cx="827530" cy="295657"/>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Janvāri</a:t>
            </a:r>
            <a:r>
              <a:rPr lang="en-US" sz="1200"/>
              <a:t>"</a:t>
            </a:r>
            <a:endParaRPr lang="lv-LV" sz="1200"/>
          </a:p>
        </xdr:txBody>
      </xdr:sp>
      <xdr:sp macro="" textlink="">
        <xdr:nvSpPr>
          <xdr:cNvPr id="45" name="TextBox 63">
            <a:extLst>
              <a:ext uri="{FF2B5EF4-FFF2-40B4-BE49-F238E27FC236}">
                <a16:creationId xmlns:a16="http://schemas.microsoft.com/office/drawing/2014/main" id="{00000000-0008-0000-0800-00002D000000}"/>
              </a:ext>
            </a:extLst>
          </xdr:cNvPr>
          <xdr:cNvSpPr txBox="1"/>
        </xdr:nvSpPr>
        <xdr:spPr>
          <a:xfrm>
            <a:off x="15542509" y="8058227"/>
            <a:ext cx="943411" cy="311816"/>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Dziļā vāda</a:t>
            </a:r>
            <a:r>
              <a:rPr lang="en-US" sz="1200"/>
              <a:t>"</a:t>
            </a:r>
            <a:endParaRPr lang="lv-LV" sz="1200"/>
          </a:p>
        </xdr:txBody>
      </xdr:sp>
      <xdr:sp macro="" textlink="">
        <xdr:nvSpPr>
          <xdr:cNvPr id="47" name="TextBox 131">
            <a:extLst>
              <a:ext uri="{FF2B5EF4-FFF2-40B4-BE49-F238E27FC236}">
                <a16:creationId xmlns:a16="http://schemas.microsoft.com/office/drawing/2014/main" id="{00000000-0008-0000-0800-00002F000000}"/>
              </a:ext>
            </a:extLst>
          </xdr:cNvPr>
          <xdr:cNvSpPr txBox="1"/>
        </xdr:nvSpPr>
        <xdr:spPr>
          <a:xfrm>
            <a:off x="19403056" y="5104583"/>
            <a:ext cx="1322799" cy="468339"/>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Sadzīves atkritumu </a:t>
            </a:r>
          </a:p>
          <a:p>
            <a:r>
              <a:rPr lang="lv-LV" sz="1100">
                <a:solidFill>
                  <a:schemeClr val="tx1">
                    <a:lumMod val="75000"/>
                    <a:lumOff val="25000"/>
                  </a:schemeClr>
                </a:solidFill>
              </a:rPr>
              <a:t>poligoni</a:t>
            </a:r>
          </a:p>
        </xdr:txBody>
      </xdr:sp>
      <xdr:pic>
        <xdr:nvPicPr>
          <xdr:cNvPr id="48" name="Picture 47" descr="A close up of a logo&#10;&#10;Description automatically generated">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470598" y="5984311"/>
            <a:ext cx="225527" cy="256237"/>
          </a:xfrm>
          <a:prstGeom prst="rect">
            <a:avLst/>
          </a:prstGeom>
        </xdr:spPr>
      </xdr:pic>
      <xdr:pic>
        <xdr:nvPicPr>
          <xdr:cNvPr id="50" name="Picture 49" descr="A picture containing drawing&#10;&#10;Description automatically generated">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9285838" y="5597231"/>
            <a:ext cx="205120" cy="199934"/>
          </a:xfrm>
          <a:prstGeom prst="rect">
            <a:avLst/>
          </a:prstGeom>
        </xdr:spPr>
      </xdr:pic>
      <xdr:pic>
        <xdr:nvPicPr>
          <xdr:cNvPr id="51" name="Picture 50" descr="A picture containing drawing&#10;&#10;Description automatically generated">
            <a:extLst>
              <a:ext uri="{FF2B5EF4-FFF2-40B4-BE49-F238E27FC236}">
                <a16:creationId xmlns:a16="http://schemas.microsoft.com/office/drawing/2014/main" id="{00000000-0008-0000-0800-00003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202011" y="6518449"/>
            <a:ext cx="265268" cy="269452"/>
          </a:xfrm>
          <a:prstGeom prst="rect">
            <a:avLst/>
          </a:prstGeom>
        </xdr:spPr>
      </xdr:pic>
      <xdr:pic>
        <xdr:nvPicPr>
          <xdr:cNvPr id="52" name="Picture 51" descr="A picture containing drawing&#10;&#10;Description automatically generated">
            <a:extLst>
              <a:ext uri="{FF2B5EF4-FFF2-40B4-BE49-F238E27FC236}">
                <a16:creationId xmlns:a16="http://schemas.microsoft.com/office/drawing/2014/main" id="{00000000-0008-0000-0800-00003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566828" y="9064305"/>
            <a:ext cx="301719" cy="309480"/>
          </a:xfrm>
          <a:prstGeom prst="rect">
            <a:avLst/>
          </a:prstGeom>
        </xdr:spPr>
      </xdr:pic>
      <xdr:pic>
        <xdr:nvPicPr>
          <xdr:cNvPr id="53" name="Picture 52" descr="A picture containing drawing&#10;&#10;Description automatically generated">
            <a:extLst>
              <a:ext uri="{FF2B5EF4-FFF2-40B4-BE49-F238E27FC236}">
                <a16:creationId xmlns:a16="http://schemas.microsoft.com/office/drawing/2014/main" id="{00000000-0008-0000-0800-00003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737550" y="8340825"/>
            <a:ext cx="301156" cy="311110"/>
          </a:xfrm>
          <a:prstGeom prst="rect">
            <a:avLst/>
          </a:prstGeom>
        </xdr:spPr>
      </xdr:pic>
      <xdr:pic>
        <xdr:nvPicPr>
          <xdr:cNvPr id="54" name="Picture 53" descr="A picture containing drawing&#10;&#10;Description automatically generated">
            <a:extLst>
              <a:ext uri="{FF2B5EF4-FFF2-40B4-BE49-F238E27FC236}">
                <a16:creationId xmlns:a16="http://schemas.microsoft.com/office/drawing/2014/main" id="{00000000-0008-0000-0800-00003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410796" y="6245122"/>
            <a:ext cx="284243" cy="291690"/>
          </a:xfrm>
          <a:prstGeom prst="rect">
            <a:avLst/>
          </a:prstGeom>
        </xdr:spPr>
      </xdr:pic>
      <xdr:sp macro="" textlink="">
        <xdr:nvSpPr>
          <xdr:cNvPr id="55" name="TextBox 131">
            <a:extLst>
              <a:ext uri="{FF2B5EF4-FFF2-40B4-BE49-F238E27FC236}">
                <a16:creationId xmlns:a16="http://schemas.microsoft.com/office/drawing/2014/main" id="{00000000-0008-0000-0800-000037000000}"/>
              </a:ext>
            </a:extLst>
          </xdr:cNvPr>
          <xdr:cNvSpPr txBox="1"/>
        </xdr:nvSpPr>
        <xdr:spPr>
          <a:xfrm>
            <a:off x="19404489" y="5543941"/>
            <a:ext cx="1322997" cy="387444"/>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Reģionālie atkritumu apsaimniekošanas centri</a:t>
            </a:r>
          </a:p>
        </xdr:txBody>
      </xdr:sp>
      <xdr:pic>
        <xdr:nvPicPr>
          <xdr:cNvPr id="58" name="Picture 57" descr="A close up of a logo&#10;&#10;Description automatically generated">
            <a:extLst>
              <a:ext uri="{FF2B5EF4-FFF2-40B4-BE49-F238E27FC236}">
                <a16:creationId xmlns:a16="http://schemas.microsoft.com/office/drawing/2014/main" id="{00000000-0008-0000-0800-00003A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263282" y="5164726"/>
            <a:ext cx="203148" cy="206285"/>
          </a:xfrm>
          <a:prstGeom prst="rect">
            <a:avLst/>
          </a:prstGeom>
        </xdr:spPr>
      </xdr:pic>
    </xdr:grpSp>
    <xdr:clientData/>
  </xdr:twoCellAnchor>
  <xdr:twoCellAnchor>
    <xdr:from>
      <xdr:col>4</xdr:col>
      <xdr:colOff>280247</xdr:colOff>
      <xdr:row>50</xdr:row>
      <xdr:rowOff>142944</xdr:rowOff>
    </xdr:from>
    <xdr:to>
      <xdr:col>24</xdr:col>
      <xdr:colOff>106390</xdr:colOff>
      <xdr:row>92</xdr:row>
      <xdr:rowOff>166456</xdr:rowOff>
    </xdr:to>
    <xdr:grpSp>
      <xdr:nvGrpSpPr>
        <xdr:cNvPr id="29" name="Group 28">
          <a:extLst>
            <a:ext uri="{FF2B5EF4-FFF2-40B4-BE49-F238E27FC236}">
              <a16:creationId xmlns:a16="http://schemas.microsoft.com/office/drawing/2014/main" id="{C83E5D3A-FFCE-4349-A96C-B831E7C36642}"/>
            </a:ext>
          </a:extLst>
        </xdr:cNvPr>
        <xdr:cNvGrpSpPr/>
      </xdr:nvGrpSpPr>
      <xdr:grpSpPr>
        <a:xfrm>
          <a:off x="5124390" y="9522801"/>
          <a:ext cx="12489857" cy="7643512"/>
          <a:chOff x="8562911" y="3772112"/>
          <a:chExt cx="12272332" cy="8039136"/>
        </a:xfrm>
      </xdr:grpSpPr>
      <mc:AlternateContent xmlns:mc="http://schemas.openxmlformats.org/markup-compatibility/2006">
        <mc:Choice xmlns:cx4="http://schemas.microsoft.com/office/drawing/2016/5/10/chartex" Requires="cx4">
          <xdr:graphicFrame macro="">
            <xdr:nvGraphicFramePr>
              <xdr:cNvPr id="31" name="Chart 30">
                <a:extLst>
                  <a:ext uri="{FF2B5EF4-FFF2-40B4-BE49-F238E27FC236}">
                    <a16:creationId xmlns:a16="http://schemas.microsoft.com/office/drawing/2014/main" id="{608E38F4-EFB1-4566-9D14-69F13D1093FB}"/>
                  </a:ext>
                </a:extLst>
              </xdr:cNvPr>
              <xdr:cNvGraphicFramePr/>
            </xdr:nvGraphicFramePr>
            <xdr:xfrm>
              <a:off x="8562911" y="3772112"/>
              <a:ext cx="12054495" cy="8039136"/>
            </xdr:xfrm>
            <a:graphic>
              <a:graphicData uri="http://schemas.microsoft.com/office/drawing/2014/chartex">
                <cx:chart xmlns:cx="http://schemas.microsoft.com/office/drawing/2014/chartex" xmlns:r="http://schemas.openxmlformats.org/officeDocument/2006/relationships" r:id="rId14"/>
              </a:graphicData>
            </a:graphic>
          </xdr:graphicFrame>
        </mc:Choice>
        <mc:Fallback>
          <xdr:sp macro="" textlink="">
            <xdr:nvSpPr>
              <xdr:cNvPr id="0" name=""/>
              <xdr:cNvSpPr>
                <a:spLocks noTextEdit="1"/>
              </xdr:cNvSpPr>
            </xdr:nvSpPr>
            <xdr:spPr>
              <a:xfrm>
                <a:off x="8562911" y="3772112"/>
                <a:ext cx="12054495" cy="8039136"/>
              </a:xfrm>
              <a:prstGeom prst="rect">
                <a:avLst/>
              </a:prstGeom>
              <a:solidFill>
                <a:prstClr val="white"/>
              </a:solidFill>
              <a:ln w="1">
                <a:solidFill>
                  <a:prstClr val="green"/>
                </a:solidFill>
              </a:ln>
            </xdr:spPr>
            <xdr:txBody>
              <a:bodyPr vertOverflow="clip" horzOverflow="clip"/>
              <a:lstStyle/>
              <a:p>
                <a:r>
                  <a:rPr lang="lv-LV" sz="1100"/>
                  <a:t>This chart isn't available in your version of Excel.
Editing this shape or saving this workbook into a different file format will permanently break the chart.</a:t>
                </a:r>
              </a:p>
            </xdr:txBody>
          </xdr:sp>
        </mc:Fallback>
      </mc:AlternateContent>
      <xdr:sp macro="" textlink="">
        <xdr:nvSpPr>
          <xdr:cNvPr id="32" name="Rectangle 31">
            <a:extLst>
              <a:ext uri="{FF2B5EF4-FFF2-40B4-BE49-F238E27FC236}">
                <a16:creationId xmlns:a16="http://schemas.microsoft.com/office/drawing/2014/main" id="{63DFA7C0-D3E3-4773-92AB-C7D998EBC7AB}"/>
              </a:ext>
            </a:extLst>
          </xdr:cNvPr>
          <xdr:cNvSpPr/>
        </xdr:nvSpPr>
        <xdr:spPr>
          <a:xfrm>
            <a:off x="17780886" y="11546262"/>
            <a:ext cx="1522580" cy="2448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3" name="Picture 32" descr="A close up of a logo&#10;&#10;Description automatically generated">
            <a:extLst>
              <a:ext uri="{FF2B5EF4-FFF2-40B4-BE49-F238E27FC236}">
                <a16:creationId xmlns:a16="http://schemas.microsoft.com/office/drawing/2014/main" id="{96D94168-877E-440A-B7B4-BCA4627D50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10337" y="8308056"/>
            <a:ext cx="221883" cy="246049"/>
          </a:xfrm>
          <a:prstGeom prst="rect">
            <a:avLst/>
          </a:prstGeom>
        </xdr:spPr>
      </xdr:pic>
      <xdr:pic>
        <xdr:nvPicPr>
          <xdr:cNvPr id="42" name="Picture 41" descr="A close up of a logo&#10;&#10;Description automatically generated">
            <a:extLst>
              <a:ext uri="{FF2B5EF4-FFF2-40B4-BE49-F238E27FC236}">
                <a16:creationId xmlns:a16="http://schemas.microsoft.com/office/drawing/2014/main" id="{4227ED88-120B-4AFD-97F4-36A853CDE3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94946" y="6127261"/>
            <a:ext cx="228861" cy="238306"/>
          </a:xfrm>
          <a:prstGeom prst="rect">
            <a:avLst/>
          </a:prstGeom>
        </xdr:spPr>
      </xdr:pic>
      <xdr:pic>
        <xdr:nvPicPr>
          <xdr:cNvPr id="44" name="Picture 43" descr="A close up of a logo&#10;&#10;Description automatically generated">
            <a:extLst>
              <a:ext uri="{FF2B5EF4-FFF2-40B4-BE49-F238E27FC236}">
                <a16:creationId xmlns:a16="http://schemas.microsoft.com/office/drawing/2014/main" id="{3A069DDC-367F-4023-8DF0-D358B16EF96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69817" y="7440089"/>
            <a:ext cx="211763" cy="236309"/>
          </a:xfrm>
          <a:prstGeom prst="rect">
            <a:avLst/>
          </a:prstGeom>
        </xdr:spPr>
      </xdr:pic>
      <xdr:pic>
        <xdr:nvPicPr>
          <xdr:cNvPr id="46" name="Picture 45" descr="A close up of a logo&#10;&#10;Description automatically generated">
            <a:extLst>
              <a:ext uri="{FF2B5EF4-FFF2-40B4-BE49-F238E27FC236}">
                <a16:creationId xmlns:a16="http://schemas.microsoft.com/office/drawing/2014/main" id="{B8A4E96D-0457-4264-B9EA-FAA4C81105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32611" y="8150401"/>
            <a:ext cx="239392" cy="259936"/>
          </a:xfrm>
          <a:prstGeom prst="rect">
            <a:avLst/>
          </a:prstGeom>
        </xdr:spPr>
      </xdr:pic>
      <xdr:pic>
        <xdr:nvPicPr>
          <xdr:cNvPr id="49" name="Picture 48" descr="A close up of a logo&#10;&#10;Description automatically generated">
            <a:extLst>
              <a:ext uri="{FF2B5EF4-FFF2-40B4-BE49-F238E27FC236}">
                <a16:creationId xmlns:a16="http://schemas.microsoft.com/office/drawing/2014/main" id="{D39C8055-730C-4A2F-BE5F-40F967FAC53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661797" y="10590224"/>
            <a:ext cx="223656" cy="267986"/>
          </a:xfrm>
          <a:prstGeom prst="rect">
            <a:avLst/>
          </a:prstGeom>
        </xdr:spPr>
      </xdr:pic>
      <xdr:sp macro="" textlink="">
        <xdr:nvSpPr>
          <xdr:cNvPr id="56" name="TextBox 52">
            <a:extLst>
              <a:ext uri="{FF2B5EF4-FFF2-40B4-BE49-F238E27FC236}">
                <a16:creationId xmlns:a16="http://schemas.microsoft.com/office/drawing/2014/main" id="{AABB62C6-7BD0-46E3-ADEA-B0643542DBEB}"/>
              </a:ext>
            </a:extLst>
          </xdr:cNvPr>
          <xdr:cNvSpPr txBox="1"/>
        </xdr:nvSpPr>
        <xdr:spPr>
          <a:xfrm>
            <a:off x="16885858" y="6245960"/>
            <a:ext cx="1403583" cy="290352"/>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"Kaudzītes"</a:t>
            </a:r>
            <a:endParaRPr lang="lv-LV" sz="1200"/>
          </a:p>
        </xdr:txBody>
      </xdr:sp>
      <xdr:sp macro="" textlink="">
        <xdr:nvSpPr>
          <xdr:cNvPr id="57" name="TextBox 53">
            <a:extLst>
              <a:ext uri="{FF2B5EF4-FFF2-40B4-BE49-F238E27FC236}">
                <a16:creationId xmlns:a16="http://schemas.microsoft.com/office/drawing/2014/main" id="{0C2AAA65-7066-4FBC-9177-B568316AC343}"/>
              </a:ext>
            </a:extLst>
          </xdr:cNvPr>
          <xdr:cNvSpPr txBox="1"/>
        </xdr:nvSpPr>
        <xdr:spPr>
          <a:xfrm>
            <a:off x="17328932" y="8778568"/>
            <a:ext cx="917635" cy="286284"/>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Križevņiki</a:t>
            </a:r>
            <a:r>
              <a:rPr lang="en-US" sz="1200"/>
              <a:t>"</a:t>
            </a:r>
            <a:endParaRPr lang="lv-LV" sz="1200"/>
          </a:p>
        </xdr:txBody>
      </xdr:sp>
      <xdr:sp macro="" textlink="">
        <xdr:nvSpPr>
          <xdr:cNvPr id="60" name="TextBox 54">
            <a:extLst>
              <a:ext uri="{FF2B5EF4-FFF2-40B4-BE49-F238E27FC236}">
                <a16:creationId xmlns:a16="http://schemas.microsoft.com/office/drawing/2014/main" id="{6AD607B6-EED2-41D0-9645-3A400A8E8A9A}"/>
              </a:ext>
            </a:extLst>
          </xdr:cNvPr>
          <xdr:cNvSpPr txBox="1"/>
        </xdr:nvSpPr>
        <xdr:spPr>
          <a:xfrm>
            <a:off x="16394692" y="10211276"/>
            <a:ext cx="1008455" cy="274468"/>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Cinīši</a:t>
            </a:r>
            <a:r>
              <a:rPr lang="en-US" sz="1200"/>
              <a:t>"</a:t>
            </a:r>
            <a:endParaRPr lang="lv-LV" sz="1200"/>
          </a:p>
        </xdr:txBody>
      </xdr:sp>
      <xdr:sp macro="" textlink="">
        <xdr:nvSpPr>
          <xdr:cNvPr id="61" name="TextBox 55">
            <a:extLst>
              <a:ext uri="{FF2B5EF4-FFF2-40B4-BE49-F238E27FC236}">
                <a16:creationId xmlns:a16="http://schemas.microsoft.com/office/drawing/2014/main" id="{D2B02069-CACE-4706-9409-1C355CD33466}"/>
              </a:ext>
            </a:extLst>
          </xdr:cNvPr>
          <xdr:cNvSpPr txBox="1"/>
        </xdr:nvSpPr>
        <xdr:spPr>
          <a:xfrm>
            <a:off x="8599923" y="7985757"/>
            <a:ext cx="823666" cy="322231"/>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Ķīvītes</a:t>
            </a:r>
            <a:r>
              <a:rPr lang="en-US" sz="1200"/>
              <a:t>"</a:t>
            </a:r>
            <a:endParaRPr lang="lv-LV" sz="1200"/>
          </a:p>
        </xdr:txBody>
      </xdr:sp>
      <xdr:sp macro="" textlink="">
        <xdr:nvSpPr>
          <xdr:cNvPr id="62" name="TextBox 56">
            <a:extLst>
              <a:ext uri="{FF2B5EF4-FFF2-40B4-BE49-F238E27FC236}">
                <a16:creationId xmlns:a16="http://schemas.microsoft.com/office/drawing/2014/main" id="{95294F8C-C02C-4155-9FCB-63C1F4298607}"/>
              </a:ext>
            </a:extLst>
          </xdr:cNvPr>
          <xdr:cNvSpPr txBox="1"/>
        </xdr:nvSpPr>
        <xdr:spPr>
          <a:xfrm>
            <a:off x="9154703" y="5959691"/>
            <a:ext cx="850212" cy="302018"/>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Pentuļi</a:t>
            </a:r>
            <a:r>
              <a:rPr lang="en-US" sz="1200"/>
              <a:t>"</a:t>
            </a:r>
            <a:endParaRPr lang="lv-LV" sz="1200"/>
          </a:p>
        </xdr:txBody>
      </xdr:sp>
      <xdr:sp macro="" textlink="">
        <xdr:nvSpPr>
          <xdr:cNvPr id="63" name="TextBox 57">
            <a:extLst>
              <a:ext uri="{FF2B5EF4-FFF2-40B4-BE49-F238E27FC236}">
                <a16:creationId xmlns:a16="http://schemas.microsoft.com/office/drawing/2014/main" id="{8CCF1DC4-7F26-476F-A83B-40536AAB1D8A}"/>
              </a:ext>
            </a:extLst>
          </xdr:cNvPr>
          <xdr:cNvSpPr txBox="1"/>
        </xdr:nvSpPr>
        <xdr:spPr>
          <a:xfrm>
            <a:off x="14259012" y="5652104"/>
            <a:ext cx="739861" cy="291736"/>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Daibe</a:t>
            </a:r>
            <a:r>
              <a:rPr lang="en-US" sz="1200"/>
              <a:t>"</a:t>
            </a:r>
            <a:endParaRPr lang="lv-LV" sz="1200"/>
          </a:p>
        </xdr:txBody>
      </xdr:sp>
      <xdr:sp macro="" textlink="">
        <xdr:nvSpPr>
          <xdr:cNvPr id="64" name="TextBox 58">
            <a:extLst>
              <a:ext uri="{FF2B5EF4-FFF2-40B4-BE49-F238E27FC236}">
                <a16:creationId xmlns:a16="http://schemas.microsoft.com/office/drawing/2014/main" id="{631ABF30-EFD7-4479-B8AB-4EA183CA563E}"/>
              </a:ext>
            </a:extLst>
          </xdr:cNvPr>
          <xdr:cNvSpPr txBox="1"/>
        </xdr:nvSpPr>
        <xdr:spPr>
          <a:xfrm>
            <a:off x="13146524" y="7182059"/>
            <a:ext cx="885846" cy="303627"/>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Getliņi</a:t>
            </a:r>
            <a:r>
              <a:rPr lang="en-US" sz="1200"/>
              <a:t>"</a:t>
            </a:r>
            <a:endParaRPr lang="lv-LV" sz="1200"/>
          </a:p>
        </xdr:txBody>
      </xdr:sp>
      <xdr:sp macro="" textlink="">
        <xdr:nvSpPr>
          <xdr:cNvPr id="65" name="TextBox 59">
            <a:extLst>
              <a:ext uri="{FF2B5EF4-FFF2-40B4-BE49-F238E27FC236}">
                <a16:creationId xmlns:a16="http://schemas.microsoft.com/office/drawing/2014/main" id="{21C00E4F-6D84-4EFF-91D0-6248B07A7B8B}"/>
              </a:ext>
            </a:extLst>
          </xdr:cNvPr>
          <xdr:cNvSpPr txBox="1"/>
        </xdr:nvSpPr>
        <xdr:spPr>
          <a:xfrm>
            <a:off x="12059236" y="7860061"/>
            <a:ext cx="1382182" cy="323710"/>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Brakšķi</a:t>
            </a:r>
            <a:r>
              <a:rPr lang="en-US" sz="1200"/>
              <a:t>"</a:t>
            </a:r>
            <a:endParaRPr lang="lv-LV" sz="1200"/>
          </a:p>
        </xdr:txBody>
      </xdr:sp>
      <xdr:sp macro="" textlink="">
        <xdr:nvSpPr>
          <xdr:cNvPr id="66" name="TextBox 61">
            <a:extLst>
              <a:ext uri="{FF2B5EF4-FFF2-40B4-BE49-F238E27FC236}">
                <a16:creationId xmlns:a16="http://schemas.microsoft.com/office/drawing/2014/main" id="{3CE8A6CC-4D8F-42ED-9396-20FCA2E14C3F}"/>
              </a:ext>
            </a:extLst>
          </xdr:cNvPr>
          <xdr:cNvSpPr txBox="1"/>
        </xdr:nvSpPr>
        <xdr:spPr>
          <a:xfrm>
            <a:off x="10670311" y="5764326"/>
            <a:ext cx="827530" cy="295657"/>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Janvāri</a:t>
            </a:r>
            <a:r>
              <a:rPr lang="en-US" sz="1200"/>
              <a:t>"</a:t>
            </a:r>
            <a:endParaRPr lang="lv-LV" sz="1200"/>
          </a:p>
        </xdr:txBody>
      </xdr:sp>
      <xdr:sp macro="" textlink="">
        <xdr:nvSpPr>
          <xdr:cNvPr id="67" name="TextBox 63">
            <a:extLst>
              <a:ext uri="{FF2B5EF4-FFF2-40B4-BE49-F238E27FC236}">
                <a16:creationId xmlns:a16="http://schemas.microsoft.com/office/drawing/2014/main" id="{74E0B243-C1CF-4B51-8919-679F6A2C7FD0}"/>
              </a:ext>
            </a:extLst>
          </xdr:cNvPr>
          <xdr:cNvSpPr txBox="1"/>
        </xdr:nvSpPr>
        <xdr:spPr>
          <a:xfrm>
            <a:off x="15542509" y="8058227"/>
            <a:ext cx="943411" cy="311816"/>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Dziļā vāda</a:t>
            </a:r>
            <a:r>
              <a:rPr lang="en-US" sz="1200"/>
              <a:t>"</a:t>
            </a:r>
            <a:endParaRPr lang="lv-LV" sz="1200"/>
          </a:p>
        </xdr:txBody>
      </xdr:sp>
      <xdr:sp macro="" textlink="">
        <xdr:nvSpPr>
          <xdr:cNvPr id="68" name="TextBox 131">
            <a:extLst>
              <a:ext uri="{FF2B5EF4-FFF2-40B4-BE49-F238E27FC236}">
                <a16:creationId xmlns:a16="http://schemas.microsoft.com/office/drawing/2014/main" id="{F22BE137-033F-4CF3-84AD-7C889799C06B}"/>
              </a:ext>
            </a:extLst>
          </xdr:cNvPr>
          <xdr:cNvSpPr txBox="1"/>
        </xdr:nvSpPr>
        <xdr:spPr>
          <a:xfrm>
            <a:off x="19512444" y="6337471"/>
            <a:ext cx="1322799" cy="468339"/>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Sadzīves atkritumu </a:t>
            </a:r>
          </a:p>
          <a:p>
            <a:r>
              <a:rPr lang="lv-LV" sz="1100">
                <a:solidFill>
                  <a:schemeClr val="tx1">
                    <a:lumMod val="75000"/>
                    <a:lumOff val="25000"/>
                  </a:schemeClr>
                </a:solidFill>
              </a:rPr>
              <a:t>poligoni</a:t>
            </a:r>
          </a:p>
        </xdr:txBody>
      </xdr:sp>
      <xdr:pic>
        <xdr:nvPicPr>
          <xdr:cNvPr id="69" name="Picture 68" descr="A close up of a logo&#10;&#10;Description automatically generated">
            <a:extLst>
              <a:ext uri="{FF2B5EF4-FFF2-40B4-BE49-F238E27FC236}">
                <a16:creationId xmlns:a16="http://schemas.microsoft.com/office/drawing/2014/main" id="{70DAE45A-EAF7-4D17-8560-6C22EDDC712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470598" y="5984311"/>
            <a:ext cx="225527" cy="256237"/>
          </a:xfrm>
          <a:prstGeom prst="rect">
            <a:avLst/>
          </a:prstGeom>
        </xdr:spPr>
      </xdr:pic>
      <xdr:pic>
        <xdr:nvPicPr>
          <xdr:cNvPr id="70" name="Picture 69" descr="A close up of a logo&#10;&#10;Description automatically generated">
            <a:extLst>
              <a:ext uri="{FF2B5EF4-FFF2-40B4-BE49-F238E27FC236}">
                <a16:creationId xmlns:a16="http://schemas.microsoft.com/office/drawing/2014/main" id="{AB7141DA-6408-4EE7-B0FE-96F46F7FD53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372671" y="6397614"/>
            <a:ext cx="203148" cy="206285"/>
          </a:xfrm>
          <a:prstGeom prst="rect">
            <a:avLst/>
          </a:prstGeom>
        </xdr:spPr>
      </xdr:pic>
    </xdr:grpSp>
    <xdr:clientData/>
  </xdr:twoCellAnchor>
  <xdr:twoCellAnchor>
    <xdr:from>
      <xdr:col>6</xdr:col>
      <xdr:colOff>157783</xdr:colOff>
      <xdr:row>68</xdr:row>
      <xdr:rowOff>88516</xdr:rowOff>
    </xdr:from>
    <xdr:to>
      <xdr:col>6</xdr:col>
      <xdr:colOff>383663</xdr:colOff>
      <xdr:row>69</xdr:row>
      <xdr:rowOff>145776</xdr:rowOff>
    </xdr:to>
    <xdr:pic>
      <xdr:nvPicPr>
        <xdr:cNvPr id="71" name="Picture 70" descr="A close up of a logo&#10;&#10;Description automatically generated">
          <a:extLst>
            <a:ext uri="{FF2B5EF4-FFF2-40B4-BE49-F238E27FC236}">
              <a16:creationId xmlns:a16="http://schemas.microsoft.com/office/drawing/2014/main" id="{C578162F-D955-46B0-8884-53500E1CAD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84263" y="3746116"/>
          <a:ext cx="225880" cy="240140"/>
        </a:xfrm>
        <a:prstGeom prst="rect">
          <a:avLst/>
        </a:prstGeom>
      </xdr:spPr>
    </xdr:pic>
    <xdr:clientData/>
  </xdr:twoCellAnchor>
  <xdr:twoCellAnchor>
    <xdr:from>
      <xdr:col>18</xdr:col>
      <xdr:colOff>550484</xdr:colOff>
      <xdr:row>70</xdr:row>
      <xdr:rowOff>10683</xdr:rowOff>
    </xdr:from>
    <xdr:to>
      <xdr:col>19</xdr:col>
      <xdr:colOff>169758</xdr:colOff>
      <xdr:row>71</xdr:row>
      <xdr:rowOff>52704</xdr:rowOff>
    </xdr:to>
    <xdr:pic>
      <xdr:nvPicPr>
        <xdr:cNvPr id="72" name="Picture 71" descr="A close up of a logo&#10;&#10;Description automatically generated">
          <a:extLst>
            <a:ext uri="{FF2B5EF4-FFF2-40B4-BE49-F238E27FC236}">
              <a16:creationId xmlns:a16="http://schemas.microsoft.com/office/drawing/2014/main" id="{FFF8C6E1-6CB7-4A97-A2AB-9C493691FFD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92164" y="4034043"/>
          <a:ext cx="228874" cy="224901"/>
        </a:xfrm>
        <a:prstGeom prst="rect">
          <a:avLst/>
        </a:prstGeom>
      </xdr:spPr>
    </xdr:pic>
    <xdr:clientData/>
  </xdr:twoCellAnchor>
  <xdr:twoCellAnchor>
    <xdr:from>
      <xdr:col>16</xdr:col>
      <xdr:colOff>352092</xdr:colOff>
      <xdr:row>79</xdr:row>
      <xdr:rowOff>100217</xdr:rowOff>
    </xdr:from>
    <xdr:to>
      <xdr:col>16</xdr:col>
      <xdr:colOff>577972</xdr:colOff>
      <xdr:row>80</xdr:row>
      <xdr:rowOff>153667</xdr:rowOff>
    </xdr:to>
    <xdr:pic>
      <xdr:nvPicPr>
        <xdr:cNvPr id="73" name="Picture 72" descr="A close up of a logo&#10;&#10;Description automatically generated">
          <a:extLst>
            <a:ext uri="{FF2B5EF4-FFF2-40B4-BE49-F238E27FC236}">
              <a16:creationId xmlns:a16="http://schemas.microsoft.com/office/drawing/2014/main" id="{CE5E1DD2-5695-4488-91DE-CB40A2F276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74572" y="5769497"/>
          <a:ext cx="225880" cy="236330"/>
        </a:xfrm>
        <a:prstGeom prst="rect">
          <a:avLst/>
        </a:prstGeom>
      </xdr:spPr>
    </xdr:pic>
    <xdr:clientData/>
  </xdr:twoCellAnchor>
  <xdr:twoCellAnchor>
    <xdr:from>
      <xdr:col>19</xdr:col>
      <xdr:colOff>361890</xdr:colOff>
      <xdr:row>83</xdr:row>
      <xdr:rowOff>20479</xdr:rowOff>
    </xdr:from>
    <xdr:to>
      <xdr:col>19</xdr:col>
      <xdr:colOff>587770</xdr:colOff>
      <xdr:row>84</xdr:row>
      <xdr:rowOff>70119</xdr:rowOff>
    </xdr:to>
    <xdr:pic>
      <xdr:nvPicPr>
        <xdr:cNvPr id="74" name="Picture 73" descr="A close up of a logo&#10;&#10;Description automatically generated">
          <a:extLst>
            <a:ext uri="{FF2B5EF4-FFF2-40B4-BE49-F238E27FC236}">
              <a16:creationId xmlns:a16="http://schemas.microsoft.com/office/drawing/2014/main" id="{06C8F20D-D090-4E26-905C-8F80EAEF84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13170" y="6421279"/>
          <a:ext cx="225880" cy="2325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Karte%2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rte (2)"/>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Elīna Dāce" id="{F403F69C-A6C0-4B0D-881D-AA56C08944B7}" userId="Elīna Dāce"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ina Dace" refreshedDate="44526.696860300923" createdVersion="7" refreshedVersion="7" minRefreshableVersion="3" recordCount="120" xr:uid="{85854CA7-C5DA-46A3-83D2-68F6AFD15A34}">
  <cacheSource type="worksheet">
    <worksheetSource ref="A3:L123" sheet="Iedz_sk"/>
  </cacheSource>
  <cacheFields count="12">
    <cacheField name="Statistiskais reģions" numFmtId="0">
      <sharedItems containsBlank="1" count="16">
        <s v="LV"/>
        <s v="Rīga"/>
        <s v="Daugavpils"/>
        <s v="Jēkabpils"/>
        <s v="Jūrmala"/>
        <s v="Jelgava"/>
        <s v="Liepāja"/>
        <s v="Rēzekne"/>
        <s v="Valmiera"/>
        <s v="Ventspils"/>
        <s v="Latgales statistiskais reģions"/>
        <s v="Zemgales statistiskais reģions"/>
        <s v="Kurzemes statistiskais reģions"/>
        <s v="Pierīgas statistiskais reģions"/>
        <s v="Vidzemes statistiskais reģions"/>
        <m u="1"/>
      </sharedItems>
    </cacheField>
    <cacheField name="Pilsēta/novads" numFmtId="0">
      <sharedItems/>
    </cacheField>
    <cacheField name="2012" numFmtId="1">
      <sharedItems containsSemiMixedTypes="0" containsString="0" containsNumber="1" containsInteger="1" minValue="1155" maxValue="2044813"/>
    </cacheField>
    <cacheField name="2013" numFmtId="1">
      <sharedItems containsSemiMixedTypes="0" containsString="0" containsNumber="1" containsInteger="1" minValue="1137" maxValue="2023825"/>
    </cacheField>
    <cacheField name="2014" numFmtId="1">
      <sharedItems containsSemiMixedTypes="0" containsString="0" containsNumber="1" containsInteger="1" minValue="1112" maxValue="2001468"/>
    </cacheField>
    <cacheField name="2015" numFmtId="1">
      <sharedItems containsSemiMixedTypes="0" containsString="0" containsNumber="1" containsInteger="1" minValue="1085" maxValue="1986096"/>
    </cacheField>
    <cacheField name="2016" numFmtId="1">
      <sharedItems containsSemiMixedTypes="0" containsString="0" containsNumber="1" containsInteger="1" minValue="1054" maxValue="1968957"/>
    </cacheField>
    <cacheField name="2017" numFmtId="1">
      <sharedItems containsSemiMixedTypes="0" containsString="0" containsNumber="1" containsInteger="1" minValue="1036" maxValue="1950116"/>
    </cacheField>
    <cacheField name="2018" numFmtId="1">
      <sharedItems containsSemiMixedTypes="0" containsString="0" containsNumber="1" containsInteger="1" minValue="1000" maxValue="1934379"/>
    </cacheField>
    <cacheField name="2019" numFmtId="1">
      <sharedItems containsSemiMixedTypes="0" containsString="0" containsNumber="1" containsInteger="1" minValue="963" maxValue="1919968"/>
    </cacheField>
    <cacheField name="2020" numFmtId="1">
      <sharedItems containsSemiMixedTypes="0" containsString="0" containsNumber="1" containsInteger="1" minValue="984" maxValue="1907675"/>
    </cacheField>
    <cacheField name="2021" numFmtId="1">
      <sharedItems containsSemiMixedTypes="0" containsString="0" containsNumber="1" containsInteger="1" minValue="937" maxValue="189322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ina Dace" refreshedDate="44526.723239814812" createdVersion="7" refreshedVersion="7" minRefreshableVersion="3" recordCount="120" xr:uid="{FA3B9641-A15A-41DF-A5C7-25888D221E8E}">
  <cacheSource type="worksheet">
    <worksheetSource ref="P3:Z123" sheet="Iedz_sk"/>
  </cacheSource>
  <cacheFields count="11">
    <cacheField name="2021" numFmtId="1">
      <sharedItems containsSemiMixedTypes="0" containsString="0" containsNumber="1" containsInteger="1" minValue="937" maxValue="1893223"/>
    </cacheField>
    <cacheField name="2022" numFmtId="1">
      <sharedItems containsSemiMixedTypes="0" containsString="0" containsNumber="1" containsInteger="1" minValue="915" maxValue="1876424"/>
    </cacheField>
    <cacheField name="2023" numFmtId="1">
      <sharedItems containsSemiMixedTypes="0" containsString="0" containsNumber="1" containsInteger="1" minValue="893" maxValue="1859624"/>
    </cacheField>
    <cacheField name="2024" numFmtId="1">
      <sharedItems containsSemiMixedTypes="0" containsString="0" containsNumber="1" containsInteger="1" minValue="871" maxValue="1842825"/>
    </cacheField>
    <cacheField name="2025" numFmtId="1">
      <sharedItems containsSemiMixedTypes="0" containsString="0" containsNumber="1" containsInteger="1" minValue="849" maxValue="1826025"/>
    </cacheField>
    <cacheField name="2026" numFmtId="1">
      <sharedItems containsSemiMixedTypes="0" containsString="0" containsNumber="1" containsInteger="1" minValue="826" maxValue="1809226"/>
    </cacheField>
    <cacheField name="2027" numFmtId="1">
      <sharedItems containsSemiMixedTypes="0" containsString="0" containsNumber="1" containsInteger="1" minValue="804" maxValue="1792426"/>
    </cacheField>
    <cacheField name="2028" numFmtId="1">
      <sharedItems containsSemiMixedTypes="0" containsString="0" containsNumber="1" containsInteger="1" minValue="782" maxValue="1775627"/>
    </cacheField>
    <cacheField name="2029" numFmtId="1">
      <sharedItems containsSemiMixedTypes="0" containsString="0" containsNumber="1" containsInteger="1" minValue="760" maxValue="1758827"/>
    </cacheField>
    <cacheField name="2030" numFmtId="0">
      <sharedItems containsSemiMixedTypes="0" containsString="0" containsNumber="1" containsInteger="1" minValue="738" maxValue="1742028"/>
    </cacheField>
    <cacheField name="Statistiskais reģions" numFmtId="0">
      <sharedItems count="15">
        <s v="LV"/>
        <s v="Rīga"/>
        <s v="Daugavpils"/>
        <s v="Jēkabpils"/>
        <s v="Jūrmala"/>
        <s v="Jelgava"/>
        <s v="Liepāja"/>
        <s v="Rēzekne"/>
        <s v="Valmiera"/>
        <s v="Ventspils"/>
        <s v="Latgales statistiskais reģions"/>
        <s v="Zemgales statistiskais reģions"/>
        <s v="Kurzemes statistiskais reģions"/>
        <s v="Pierīgas statistiskais reģions"/>
        <s v="Vidzemes statistiskais reģions"/>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ina Dace" refreshedDate="44538.560907060186" createdVersion="7" refreshedVersion="7" minRefreshableVersion="3" recordCount="120" xr:uid="{195169DB-0C30-48BD-8659-BECC5D4A3C0E}">
  <cacheSource type="worksheet">
    <worksheetSource ref="A4:U124" sheet="Aprēķins_2030"/>
  </cacheSource>
  <cacheFields count="21">
    <cacheField name="Pirms novadu reformas" numFmtId="0">
      <sharedItems/>
    </cacheField>
    <cacheField name="Novads pēc reformas" numFmtId="0">
      <sharedItems count="44">
        <s v="n/a"/>
        <s v="Rīga"/>
        <s v="Daugavpils"/>
        <s v="Jēkabpils novads"/>
        <s v="Jūrmala"/>
        <s v="Jelgava"/>
        <s v="Liepāja"/>
        <s v="Rēzekne"/>
        <s v="Valmieras novads"/>
        <s v="Ventspils"/>
        <s v="Preiļu novads"/>
        <s v="Aizkraukles novads"/>
        <s v="Dienvidkurzemes novads"/>
        <s v="Limbažu novads"/>
        <s v="Kuldīgas novads"/>
        <s v="Alūksnes novads"/>
        <s v="Cēsu novads"/>
        <s v="Smiltenes novads"/>
        <s v="Dobeles novads"/>
        <s v="Ādažu novads"/>
        <s v="Mārupes novads"/>
        <s v="Ķekavas novads"/>
        <s v="Balvu novads"/>
        <s v="Bauskas novads"/>
        <s v="Saldus novads"/>
        <s v="Madonas novads"/>
        <s v="Ludzas novads"/>
        <s v="Krāslavas novads"/>
        <s v="Augšdaugavas novads"/>
        <s v="Talsu novads"/>
        <s v="Tukuma novads"/>
        <s v="Ropažu novads"/>
        <s v="Gulbenes novads"/>
        <s v="Ogres novads"/>
        <s v="Siguldas novads"/>
        <s v="Jelgavas novads"/>
        <s v="Līvānu novads"/>
        <s v="Olaines novads"/>
        <s v="Rēzeknes novads"/>
        <s v="Salaspils novads"/>
        <s v="Saulkrastu novads"/>
        <s v="Valkas novads"/>
        <s v="Varakļānu novads"/>
        <s v="Ventspils novads"/>
      </sharedItems>
    </cacheField>
    <cacheField name="AAR pirms reformas" numFmtId="0">
      <sharedItems/>
    </cacheField>
    <cacheField name="AAR pēc reformas" numFmtId="0">
      <sharedItems count="6">
        <s v="n/a"/>
        <s v="Viduslatvijas"/>
        <s v="Latgales"/>
        <s v="Ziemeļkurzemes"/>
        <s v="Dienvidkurzemes"/>
        <s v="Vidzemes"/>
      </sharedItems>
    </cacheField>
    <cacheField name="Platība, km2" numFmtId="0">
      <sharedItems containsSemiMixedTypes="0" containsString="0" containsNumber="1" containsInteger="1" minValue="18" maxValue="64573"/>
    </cacheField>
    <cacheField name="IS_2021" numFmtId="3">
      <sharedItems containsSemiMixedTypes="0" containsString="0" containsNumber="1" containsInteger="1" minValue="937" maxValue="1893223"/>
    </cacheField>
    <cacheField name="IS_2022" numFmtId="3">
      <sharedItems containsSemiMixedTypes="0" containsString="0" containsNumber="1" containsInteger="1" minValue="915" maxValue="1876426"/>
    </cacheField>
    <cacheField name="IS_2023" numFmtId="3">
      <sharedItems containsSemiMixedTypes="0" containsString="0" containsNumber="1" containsInteger="1" minValue="893" maxValue="1859631"/>
    </cacheField>
    <cacheField name="IS_2030" numFmtId="3">
      <sharedItems containsSemiMixedTypes="0" containsString="0" containsNumber="1" containsInteger="1" minValue="738" maxValue="1742028"/>
    </cacheField>
    <cacheField name="IS_20212" numFmtId="3">
      <sharedItems containsSemiMixedTypes="0" containsString="0" containsNumber="1" minValue="6161.6194422005201" maxValue="31075056.674999997"/>
    </cacheField>
    <cacheField name="IS_20222" numFmtId="3">
      <sharedItems containsSemiMixedTypes="0" containsString="0" containsNumber="1" minValue="6472.322322954763" maxValue="32659884.565424994"/>
    </cacheField>
    <cacheField name="IS_20232" numFmtId="3">
      <sharedItems containsSemiMixedTypes="0" containsString="0" containsNumber="1" minValue="6714.4196307593284" maxValue="33900960.178911142"/>
    </cacheField>
    <cacheField name="IS_20302" numFmtId="3">
      <sharedItems containsSemiMixedTypes="0" containsString="0" containsNumber="1" minValue="8073.5555077300614" maxValue="41020161.816482484"/>
    </cacheField>
    <cacheField name="SA_2021" numFmtId="3">
      <sharedItems containsSemiMixedTypes="0" containsString="0" containsNumber="1" minValue="169.16705225974616" maxValue="853164.62430482276"/>
    </cacheField>
    <cacheField name="SA_2022" numFmtId="3">
      <sharedItems containsSemiMixedTypes="0" containsString="0" containsNumber="1" minValue="171.54287912545905" maxValue="865619.84256996086"/>
    </cacheField>
    <cacheField name="SA_2023" numFmtId="3">
      <sharedItems containsSemiMixedTypes="0" containsString="0" containsNumber="1" minValue="172.95958146188229" maxValue="873269.20361653226"/>
    </cacheField>
    <cacheField name="SA_2030" numFmtId="3">
      <sharedItems containsSemiMixedTypes="0" containsString="0" containsNumber="1" minValue="173.48377688949154" maxValue="1056655.7363760041"/>
    </cacheField>
    <cacheField name="BA_2021" numFmtId="3">
      <sharedItems containsSemiMixedTypes="0" containsString="0" containsNumber="1" minValue="40.600092542339077" maxValue="204759.50983315747"/>
    </cacheField>
    <cacheField name="BA_2022" numFmtId="3">
      <sharedItems containsSemiMixedTypes="0" containsString="0" containsNumber="1" minValue="41.170290990110175" maxValue="207748.76221679061"/>
    </cacheField>
    <cacheField name="BA_2023" numFmtId="3">
      <sharedItems containsSemiMixedTypes="0" containsString="0" containsNumber="1" minValue="41.510299550851748" maxValue="209584.60886796776"/>
    </cacheField>
    <cacheField name="BA_2030" numFmtId="3">
      <sharedItems containsSemiMixedTypes="0" containsString="0" containsNumber="1" minValue="41.636106453477964" maxValue="253597.376730240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
  <r>
    <x v="0"/>
    <s v="LATVIJA"/>
    <n v="2044813"/>
    <n v="2023825"/>
    <n v="2001468"/>
    <n v="1986096"/>
    <n v="1968957"/>
    <n v="1950116"/>
    <n v="1934379"/>
    <n v="1919968"/>
    <n v="1907675"/>
    <n v="1893223"/>
  </r>
  <r>
    <x v="1"/>
    <s v="Rīga"/>
    <n v="649853"/>
    <n v="643615"/>
    <n v="643368"/>
    <n v="641007"/>
    <n v="639630"/>
    <n v="641423"/>
    <n v="637971"/>
    <n v="632614"/>
    <n v="621120"/>
    <n v="614618"/>
  </r>
  <r>
    <x v="2"/>
    <s v="Daugavpils"/>
    <n v="90879"/>
    <n v="89184"/>
    <n v="87403"/>
    <n v="86435"/>
    <n v="85858"/>
    <n v="84592"/>
    <n v="83250"/>
    <n v="82604"/>
    <n v="81587"/>
    <n v="80627"/>
  </r>
  <r>
    <x v="3"/>
    <s v="Jēkabpils"/>
    <n v="24182"/>
    <n v="23834"/>
    <n v="23269"/>
    <n v="23019"/>
    <n v="22750"/>
    <n v="22412"/>
    <n v="22188"/>
    <n v="22076"/>
    <n v="21836"/>
    <n v="21629"/>
  </r>
  <r>
    <x v="4"/>
    <s v="Jūrmala"/>
    <n v="50196"/>
    <n v="50481"/>
    <n v="49750"/>
    <n v="49646"/>
    <n v="49182"/>
    <n v="48606"/>
    <n v="49073"/>
    <n v="49325"/>
    <n v="49985"/>
    <n v="50248"/>
  </r>
  <r>
    <x v="5"/>
    <s v="Jelgava"/>
    <n v="58332"/>
    <n v="57773"/>
    <n v="57332"/>
    <n v="57180"/>
    <n v="57053"/>
    <n v="56743"/>
    <n v="56383"/>
    <n v="55972"/>
    <n v="55517"/>
    <n v="55336"/>
  </r>
  <r>
    <x v="6"/>
    <s v="Liepāja"/>
    <n v="74812"/>
    <n v="73469"/>
    <n v="71926"/>
    <n v="71125"/>
    <n v="70630"/>
    <n v="69443"/>
    <n v="69180"/>
    <n v="68945"/>
    <n v="68313"/>
    <n v="67964"/>
  </r>
  <r>
    <x v="7"/>
    <s v="Rēzekne"/>
    <n v="31378"/>
    <n v="30756"/>
    <n v="29948"/>
    <n v="29317"/>
    <n v="28692"/>
    <n v="28174"/>
    <n v="28156"/>
    <n v="27820"/>
    <n v="27100"/>
    <n v="26839"/>
  </r>
  <r>
    <x v="8"/>
    <s v="Valmiera"/>
    <n v="24656"/>
    <n v="24228"/>
    <n v="23657"/>
    <n v="23432"/>
    <n v="23248"/>
    <n v="22961"/>
    <n v="23063"/>
    <n v="23125"/>
    <n v="23018"/>
    <n v="22971"/>
  </r>
  <r>
    <x v="9"/>
    <s v="Ventspils"/>
    <n v="38000"/>
    <n v="37336"/>
    <n v="36677"/>
    <n v="36274"/>
    <n v="35903"/>
    <n v="35362"/>
    <n v="34855"/>
    <n v="34377"/>
    <n v="33799"/>
    <n v="33372"/>
  </r>
  <r>
    <x v="10"/>
    <s v="Aglonas novads"/>
    <n v="3887"/>
    <n v="3800"/>
    <n v="3731"/>
    <n v="3669"/>
    <n v="3567"/>
    <n v="3436"/>
    <n v="3309"/>
    <n v="3191"/>
    <n v="3133"/>
    <n v="3042"/>
  </r>
  <r>
    <x v="11"/>
    <s v="Aizkraukles novads"/>
    <n v="8859"/>
    <n v="8733"/>
    <n v="8592"/>
    <n v="8484"/>
    <n v="8397"/>
    <n v="8256"/>
    <n v="8130"/>
    <n v="8036"/>
    <n v="8022"/>
    <n v="8017"/>
  </r>
  <r>
    <x v="12"/>
    <s v="Aizputes novads"/>
    <n v="9219"/>
    <n v="9150"/>
    <n v="9023"/>
    <n v="8883"/>
    <n v="8686"/>
    <n v="8534"/>
    <n v="8355"/>
    <n v="8192"/>
    <n v="8196"/>
    <n v="8083"/>
  </r>
  <r>
    <x v="11"/>
    <s v="Aknīstes novads"/>
    <n v="2930"/>
    <n v="2897"/>
    <n v="2878"/>
    <n v="2836"/>
    <n v="2776"/>
    <n v="2791"/>
    <n v="2557"/>
    <n v="2492"/>
    <n v="2576"/>
    <n v="2546"/>
  </r>
  <r>
    <x v="13"/>
    <s v="Alojas novads"/>
    <n v="5273"/>
    <n v="5197"/>
    <n v="5088"/>
    <n v="5000"/>
    <n v="4889"/>
    <n v="4785"/>
    <n v="4680"/>
    <n v="4630"/>
    <n v="4627"/>
    <n v="4520"/>
  </r>
  <r>
    <x v="12"/>
    <s v="Alsungas novads"/>
    <n v="1472"/>
    <n v="1458"/>
    <n v="1452"/>
    <n v="1416"/>
    <n v="1382"/>
    <n v="1345"/>
    <n v="1322"/>
    <n v="1289"/>
    <n v="1305"/>
    <n v="1303"/>
  </r>
  <r>
    <x v="14"/>
    <s v="Alūksnes novads"/>
    <n v="16749"/>
    <n v="16418"/>
    <n v="15972"/>
    <n v="15648"/>
    <n v="15381"/>
    <n v="14896"/>
    <n v="14472"/>
    <n v="14153"/>
    <n v="14050"/>
    <n v="13861"/>
  </r>
  <r>
    <x v="14"/>
    <s v="Amatas novads"/>
    <n v="5655"/>
    <n v="5589"/>
    <n v="5462"/>
    <n v="5388"/>
    <n v="5337"/>
    <n v="5163"/>
    <n v="5003"/>
    <n v="4983"/>
    <n v="5048"/>
    <n v="5042"/>
  </r>
  <r>
    <x v="14"/>
    <s v="Apes novads"/>
    <n v="3779"/>
    <n v="3718"/>
    <n v="3643"/>
    <n v="3579"/>
    <n v="3528"/>
    <n v="3415"/>
    <n v="3345"/>
    <n v="3295"/>
    <n v="3260"/>
    <n v="3205"/>
  </r>
  <r>
    <x v="11"/>
    <s v="Auces novads"/>
    <n v="7217"/>
    <n v="7093"/>
    <n v="6879"/>
    <n v="6762"/>
    <n v="6605"/>
    <n v="6413"/>
    <n v="6289"/>
    <n v="6153"/>
    <n v="6163"/>
    <n v="6025"/>
  </r>
  <r>
    <x v="13"/>
    <s v="Ādažu novads"/>
    <n v="10030"/>
    <n v="10092"/>
    <n v="10238"/>
    <n v="10414"/>
    <n v="10524"/>
    <n v="10735"/>
    <n v="11184"/>
    <n v="11391"/>
    <n v="11558"/>
    <n v="11824"/>
  </r>
  <r>
    <x v="13"/>
    <s v="Babītes novads"/>
    <n v="9381"/>
    <n v="9515"/>
    <n v="9630"/>
    <n v="9800"/>
    <n v="9825"/>
    <n v="10119"/>
    <n v="10350"/>
    <n v="10704"/>
    <n v="10980"/>
    <n v="11247"/>
  </r>
  <r>
    <x v="13"/>
    <s v="Baldones novads"/>
    <n v="5502"/>
    <n v="5473"/>
    <n v="5400"/>
    <n v="5435"/>
    <n v="5416"/>
    <n v="5373"/>
    <n v="5485"/>
    <n v="5468"/>
    <n v="5370"/>
    <n v="5446"/>
  </r>
  <r>
    <x v="10"/>
    <s v="Baltinavas novads"/>
    <n v="1155"/>
    <n v="1137"/>
    <n v="1112"/>
    <n v="1085"/>
    <n v="1054"/>
    <n v="1036"/>
    <n v="1000"/>
    <n v="963"/>
    <n v="984"/>
    <n v="937"/>
  </r>
  <r>
    <x v="10"/>
    <s v="Balvu novads"/>
    <n v="13879"/>
    <n v="13609"/>
    <n v="13301"/>
    <n v="13031"/>
    <n v="12688"/>
    <n v="12342"/>
    <n v="12129"/>
    <n v="11977"/>
    <n v="11809"/>
    <n v="11576"/>
  </r>
  <r>
    <x v="11"/>
    <s v="Bauskas novads"/>
    <n v="25258"/>
    <n v="24946"/>
    <n v="24615"/>
    <n v="24308"/>
    <n v="23930"/>
    <n v="23387"/>
    <n v="23061"/>
    <n v="22784"/>
    <n v="22546"/>
    <n v="22259"/>
  </r>
  <r>
    <x v="14"/>
    <s v="Beverīnas novads"/>
    <n v="3282"/>
    <n v="3299"/>
    <n v="3231"/>
    <n v="3186"/>
    <n v="3140"/>
    <n v="3051"/>
    <n v="3006"/>
    <n v="2949"/>
    <n v="2990"/>
    <n v="2948"/>
  </r>
  <r>
    <x v="12"/>
    <s v="Brocēnu novads"/>
    <n v="6093"/>
    <n v="5981"/>
    <n v="5828"/>
    <n v="5785"/>
    <n v="5674"/>
    <n v="5558"/>
    <n v="5622"/>
    <n v="5634"/>
    <n v="5685"/>
    <n v="5672"/>
  </r>
  <r>
    <x v="14"/>
    <s v="Burtnieku novads"/>
    <n v="8224"/>
    <n v="8162"/>
    <n v="8128"/>
    <n v="8112"/>
    <n v="8150"/>
    <n v="7977"/>
    <n v="7584"/>
    <n v="7485"/>
    <n v="7430"/>
    <n v="7410"/>
  </r>
  <r>
    <x v="13"/>
    <s v="Carnikavas novads"/>
    <n v="6775"/>
    <n v="6780"/>
    <n v="6788"/>
    <n v="6805"/>
    <n v="6858"/>
    <n v="8334"/>
    <n v="8626"/>
    <n v="8738"/>
    <n v="9110"/>
    <n v="9310"/>
  </r>
  <r>
    <x v="14"/>
    <s v="Cesvaines novads"/>
    <n v="2785"/>
    <n v="2774"/>
    <n v="2697"/>
    <n v="2617"/>
    <n v="2560"/>
    <n v="2497"/>
    <n v="2422"/>
    <n v="2339"/>
    <n v="2309"/>
    <n v="2253"/>
  </r>
  <r>
    <x v="14"/>
    <s v="Cēsu novads"/>
    <n v="17807"/>
    <n v="17539"/>
    <n v="17241"/>
    <n v="17039"/>
    <n v="16830"/>
    <n v="16628"/>
    <n v="16489"/>
    <n v="16372"/>
    <n v="16226"/>
    <n v="16143"/>
  </r>
  <r>
    <x v="10"/>
    <s v="Ciblas novads"/>
    <n v="2869"/>
    <n v="2818"/>
    <n v="2755"/>
    <n v="2707"/>
    <n v="2659"/>
    <n v="2568"/>
    <n v="2515"/>
    <n v="2429"/>
    <n v="2451"/>
    <n v="2362"/>
  </r>
  <r>
    <x v="10"/>
    <s v="Dagdas novads"/>
    <n v="8194"/>
    <n v="8014"/>
    <n v="7819"/>
    <n v="7647"/>
    <n v="7460"/>
    <n v="7253"/>
    <n v="6992"/>
    <n v="6777"/>
    <n v="6685"/>
    <n v="6475"/>
  </r>
  <r>
    <x v="10"/>
    <s v="Daugavpils novads"/>
    <n v="24666"/>
    <n v="24000"/>
    <n v="23503"/>
    <n v="22848"/>
    <n v="22096"/>
    <n v="21301"/>
    <n v="20684"/>
    <n v="20149"/>
    <n v="20075"/>
    <n v="19553"/>
  </r>
  <r>
    <x v="11"/>
    <s v="Dobeles novads"/>
    <n v="21994"/>
    <n v="21693"/>
    <n v="21218"/>
    <n v="20878"/>
    <n v="20473"/>
    <n v="20080"/>
    <n v="19768"/>
    <n v="19517"/>
    <n v="19438"/>
    <n v="19219"/>
  </r>
  <r>
    <x v="12"/>
    <s v="Dundagas novads"/>
    <n v="4236"/>
    <n v="4193"/>
    <n v="4140"/>
    <n v="4039"/>
    <n v="3963"/>
    <n v="3846"/>
    <n v="3740"/>
    <n v="3641"/>
    <n v="3568"/>
    <n v="3487"/>
  </r>
  <r>
    <x v="12"/>
    <s v="Durbes novads"/>
    <n v="3018"/>
    <n v="2969"/>
    <n v="2921"/>
    <n v="2854"/>
    <n v="2777"/>
    <n v="2729"/>
    <n v="2681"/>
    <n v="2626"/>
    <n v="2667"/>
    <n v="2620"/>
  </r>
  <r>
    <x v="13"/>
    <s v="Engures novads"/>
    <n v="7472"/>
    <n v="7430"/>
    <n v="7321"/>
    <n v="7204"/>
    <n v="7289"/>
    <n v="7225"/>
    <n v="7080"/>
    <n v="7054"/>
    <n v="7219"/>
    <n v="7147"/>
  </r>
  <r>
    <x v="14"/>
    <s v="Ērgļu novads"/>
    <n v="3140"/>
    <n v="3059"/>
    <n v="2988"/>
    <n v="2943"/>
    <n v="2929"/>
    <n v="2804"/>
    <n v="2747"/>
    <n v="2689"/>
    <n v="2680"/>
    <n v="2600"/>
  </r>
  <r>
    <x v="13"/>
    <s v="Garkalnes novads"/>
    <n v="7818"/>
    <n v="7868"/>
    <n v="7817"/>
    <n v="7858"/>
    <n v="7944"/>
    <n v="8121"/>
    <n v="8344"/>
    <n v="8557"/>
    <n v="9011"/>
    <n v="9425"/>
  </r>
  <r>
    <x v="12"/>
    <s v="Grobiņas novads"/>
    <n v="9198"/>
    <n v="9144"/>
    <n v="9051"/>
    <n v="8929"/>
    <n v="8765"/>
    <n v="8615"/>
    <n v="8479"/>
    <n v="8394"/>
    <n v="8398"/>
    <n v="8329"/>
  </r>
  <r>
    <x v="14"/>
    <s v="Gulbenes novads"/>
    <n v="22628"/>
    <n v="22375"/>
    <n v="21935"/>
    <n v="21640"/>
    <n v="21244"/>
    <n v="20805"/>
    <n v="20431"/>
    <n v="20079"/>
    <n v="20001"/>
    <n v="19619"/>
  </r>
  <r>
    <x v="11"/>
    <s v="Iecavas novads"/>
    <n v="8986"/>
    <n v="8894"/>
    <n v="8756"/>
    <n v="8703"/>
    <n v="8572"/>
    <n v="8455"/>
    <n v="8424"/>
    <n v="8359"/>
    <n v="8435"/>
    <n v="8411"/>
  </r>
  <r>
    <x v="13"/>
    <s v="Ikšķiles novads"/>
    <n v="8870"/>
    <n v="8974"/>
    <n v="9174"/>
    <n v="9314"/>
    <n v="9369"/>
    <n v="9405"/>
    <n v="9643"/>
    <n v="9708"/>
    <n v="9770"/>
    <n v="9967"/>
  </r>
  <r>
    <x v="10"/>
    <s v="Ilūkstes novads"/>
    <n v="7895"/>
    <n v="7786"/>
    <n v="7537"/>
    <n v="7450"/>
    <n v="7210"/>
    <n v="7022"/>
    <n v="6820"/>
    <n v="6615"/>
    <n v="6523"/>
    <n v="6374"/>
  </r>
  <r>
    <x v="13"/>
    <s v="Inčukalna novads"/>
    <n v="7910"/>
    <n v="7856"/>
    <n v="7748"/>
    <n v="7719"/>
    <n v="7679"/>
    <n v="7598"/>
    <n v="7558"/>
    <n v="7640"/>
    <n v="7579"/>
    <n v="7622"/>
  </r>
  <r>
    <x v="11"/>
    <s v="Jaunjelgavas novads"/>
    <n v="5721"/>
    <n v="5731"/>
    <n v="5656"/>
    <n v="5578"/>
    <n v="5496"/>
    <n v="5334"/>
    <n v="5252"/>
    <n v="5140"/>
    <n v="5176"/>
    <n v="5039"/>
  </r>
  <r>
    <x v="14"/>
    <s v="Jaunpiebalgas novads"/>
    <n v="2367"/>
    <n v="2333"/>
    <n v="2319"/>
    <n v="2293"/>
    <n v="2193"/>
    <n v="2139"/>
    <n v="2086"/>
    <n v="2019"/>
    <n v="2011"/>
    <n v="1992"/>
  </r>
  <r>
    <x v="13"/>
    <s v="Jaunpils novads"/>
    <n v="2480"/>
    <n v="2461"/>
    <n v="2444"/>
    <n v="2406"/>
    <n v="2338"/>
    <n v="2280"/>
    <n v="2239"/>
    <n v="2178"/>
    <n v="2198"/>
    <n v="2188"/>
  </r>
  <r>
    <x v="11"/>
    <s v="Jelgavas novads"/>
    <n v="24492"/>
    <n v="24295"/>
    <n v="23778"/>
    <n v="23360"/>
    <n v="22860"/>
    <n v="22443"/>
    <n v="22244"/>
    <n v="22011"/>
    <n v="22187"/>
    <n v="22021"/>
  </r>
  <r>
    <x v="11"/>
    <s v="Jēkabpils novads"/>
    <n v="5066"/>
    <n v="4956"/>
    <n v="4860"/>
    <n v="4772"/>
    <n v="4689"/>
    <n v="4548"/>
    <n v="4419"/>
    <n v="4293"/>
    <n v="4234"/>
    <n v="4164"/>
  </r>
  <r>
    <x v="13"/>
    <s v="Kandavas novads"/>
    <n v="8844"/>
    <n v="8808"/>
    <n v="8672"/>
    <n v="8504"/>
    <n v="8332"/>
    <n v="8085"/>
    <n v="7853"/>
    <n v="7664"/>
    <n v="7553"/>
    <n v="7462"/>
  </r>
  <r>
    <x v="10"/>
    <s v="Kārsavas novads"/>
    <n v="6180"/>
    <n v="6034"/>
    <n v="5913"/>
    <n v="5812"/>
    <n v="5679"/>
    <n v="5532"/>
    <n v="5393"/>
    <n v="5278"/>
    <n v="5238"/>
    <n v="5127"/>
  </r>
  <r>
    <x v="14"/>
    <s v="Kocēnu novads"/>
    <n v="6310"/>
    <n v="6263"/>
    <n v="6226"/>
    <n v="6147"/>
    <n v="6092"/>
    <n v="5980"/>
    <n v="5912"/>
    <n v="5832"/>
    <n v="5806"/>
    <n v="5776"/>
  </r>
  <r>
    <x v="11"/>
    <s v="Kokneses novads"/>
    <n v="5444"/>
    <n v="5384"/>
    <n v="5334"/>
    <n v="5295"/>
    <n v="5217"/>
    <n v="5099"/>
    <n v="5020"/>
    <n v="5013"/>
    <n v="4945"/>
    <n v="4851"/>
  </r>
  <r>
    <x v="10"/>
    <s v="Krāslavas novads"/>
    <n v="17099"/>
    <n v="16755"/>
    <n v="16291"/>
    <n v="15854"/>
    <n v="15436"/>
    <n v="14963"/>
    <n v="14542"/>
    <n v="14155"/>
    <n v="13863"/>
    <n v="13533"/>
  </r>
  <r>
    <x v="13"/>
    <s v="Krimuldas novads"/>
    <n v="5264"/>
    <n v="5232"/>
    <n v="5176"/>
    <n v="5169"/>
    <n v="5109"/>
    <n v="4969"/>
    <n v="4885"/>
    <n v="4858"/>
    <n v="4893"/>
    <n v="4833"/>
  </r>
  <r>
    <x v="11"/>
    <s v="Krustpils novads"/>
    <n v="6057"/>
    <n v="6053"/>
    <n v="5977"/>
    <n v="5908"/>
    <n v="5828"/>
    <n v="5747"/>
    <n v="5603"/>
    <n v="5496"/>
    <n v="5547"/>
    <n v="5461"/>
  </r>
  <r>
    <x v="12"/>
    <s v="Kuldīgas novads"/>
    <n v="24770"/>
    <n v="24539"/>
    <n v="24190"/>
    <n v="23898"/>
    <n v="23515"/>
    <n v="22989"/>
    <n v="22630"/>
    <n v="22313"/>
    <n v="22214"/>
    <n v="21907"/>
  </r>
  <r>
    <x v="13"/>
    <s v="Ķeguma novads"/>
    <n v="5670"/>
    <n v="5650"/>
    <n v="5586"/>
    <n v="5546"/>
    <n v="5448"/>
    <n v="5427"/>
    <n v="5374"/>
    <n v="5344"/>
    <n v="5335"/>
    <n v="5313"/>
  </r>
  <r>
    <x v="13"/>
    <s v="Ķekavas novads"/>
    <n v="22095"/>
    <n v="22337"/>
    <n v="22335"/>
    <n v="22630"/>
    <n v="22745"/>
    <n v="22639"/>
    <n v="23042"/>
    <n v="23698"/>
    <n v="24269"/>
    <n v="24631"/>
  </r>
  <r>
    <x v="13"/>
    <s v="Lielvārdes novads"/>
    <n v="10306"/>
    <n v="10282"/>
    <n v="10174"/>
    <n v="10050"/>
    <n v="9958"/>
    <n v="9758"/>
    <n v="9735"/>
    <n v="9643"/>
    <n v="9624"/>
    <n v="9547"/>
  </r>
  <r>
    <x v="13"/>
    <s v="Limbažu novads"/>
    <n v="17725"/>
    <n v="17498"/>
    <n v="17262"/>
    <n v="17098"/>
    <n v="16836"/>
    <n v="16571"/>
    <n v="16312"/>
    <n v="16301"/>
    <n v="16772"/>
    <n v="16744"/>
  </r>
  <r>
    <x v="14"/>
    <s v="Līgatnes novads"/>
    <n v="3661"/>
    <n v="3603"/>
    <n v="3532"/>
    <n v="3481"/>
    <n v="3404"/>
    <n v="3314"/>
    <n v="3262"/>
    <n v="3264"/>
    <n v="3261"/>
    <n v="3258"/>
  </r>
  <r>
    <x v="10"/>
    <s v="Līvānu novads"/>
    <n v="12251"/>
    <n v="12030"/>
    <n v="11799"/>
    <n v="11652"/>
    <n v="11473"/>
    <n v="11200"/>
    <n v="11029"/>
    <n v="10832"/>
    <n v="10833"/>
    <n v="10636"/>
  </r>
  <r>
    <x v="14"/>
    <s v="Lubānas novads"/>
    <n v="2527"/>
    <n v="2502"/>
    <n v="2475"/>
    <n v="2444"/>
    <n v="2371"/>
    <n v="2312"/>
    <n v="2287"/>
    <n v="2226"/>
    <n v="2223"/>
    <n v="2163"/>
  </r>
  <r>
    <x v="10"/>
    <s v="Ludzas novads"/>
    <n v="14026"/>
    <n v="13742"/>
    <n v="13439"/>
    <n v="13250"/>
    <n v="12963"/>
    <n v="12739"/>
    <n v="12416"/>
    <n v="12196"/>
    <n v="11937"/>
    <n v="11739"/>
  </r>
  <r>
    <x v="14"/>
    <s v="Madonas novads"/>
    <n v="24964"/>
    <n v="24603"/>
    <n v="24134"/>
    <n v="23778"/>
    <n v="23441"/>
    <n v="22945"/>
    <n v="22604"/>
    <n v="22261"/>
    <n v="22069"/>
    <n v="21676"/>
  </r>
  <r>
    <x v="14"/>
    <s v="Mazsalacas novads"/>
    <n v="3461"/>
    <n v="3397"/>
    <n v="3314"/>
    <n v="3239"/>
    <n v="3147"/>
    <n v="3030"/>
    <n v="2990"/>
    <n v="2932"/>
    <n v="2932"/>
    <n v="2867"/>
  </r>
  <r>
    <x v="13"/>
    <s v="Mālpils novads"/>
    <n v="3579"/>
    <n v="3548"/>
    <n v="3522"/>
    <n v="3516"/>
    <n v="3470"/>
    <n v="3411"/>
    <n v="3411"/>
    <n v="3350"/>
    <n v="3373"/>
    <n v="3324"/>
  </r>
  <r>
    <x v="13"/>
    <s v="Mārupes novads"/>
    <n v="16281"/>
    <n v="16659"/>
    <n v="16948"/>
    <n v="17741"/>
    <n v="18623"/>
    <n v="18521"/>
    <n v="19456"/>
    <n v="20007"/>
    <n v="20741"/>
    <n v="21577"/>
  </r>
  <r>
    <x v="12"/>
    <s v="Mērsraga novads"/>
    <n v="1620"/>
    <n v="1606"/>
    <n v="1615"/>
    <n v="1582"/>
    <n v="1554"/>
    <n v="1521"/>
    <n v="1478"/>
    <n v="1439"/>
    <n v="1454"/>
    <n v="1431"/>
  </r>
  <r>
    <x v="14"/>
    <s v="Naukšēnu novads"/>
    <n v="1966"/>
    <n v="1932"/>
    <n v="1881"/>
    <n v="1847"/>
    <n v="1824"/>
    <n v="1770"/>
    <n v="1731"/>
    <n v="1701"/>
    <n v="1730"/>
    <n v="1689"/>
  </r>
  <r>
    <x v="11"/>
    <s v="Neretas novads"/>
    <n v="3874"/>
    <n v="3846"/>
    <n v="3760"/>
    <n v="3706"/>
    <n v="3638"/>
    <n v="3507"/>
    <n v="3442"/>
    <n v="3376"/>
    <n v="3336"/>
    <n v="3278"/>
  </r>
  <r>
    <x v="12"/>
    <s v="Nīcas novads"/>
    <n v="3585"/>
    <n v="3527"/>
    <n v="3482"/>
    <n v="3419"/>
    <n v="3316"/>
    <n v="3278"/>
    <n v="3209"/>
    <n v="3152"/>
    <n v="3112"/>
    <n v="3113"/>
  </r>
  <r>
    <x v="13"/>
    <s v="Ogres novads"/>
    <n v="35917"/>
    <n v="35531"/>
    <n v="34897"/>
    <n v="34580"/>
    <n v="33980"/>
    <n v="33448"/>
    <n v="33083"/>
    <n v="32997"/>
    <n v="32927"/>
    <n v="32790"/>
  </r>
  <r>
    <x v="13"/>
    <s v="Olaines novads"/>
    <n v="20004"/>
    <n v="19849"/>
    <n v="19720"/>
    <n v="19718"/>
    <n v="19685"/>
    <n v="19487"/>
    <n v="19409"/>
    <n v="19499"/>
    <n v="19511"/>
    <n v="19705"/>
  </r>
  <r>
    <x v="11"/>
    <s v="Ozolnieku novads"/>
    <n v="9896"/>
    <n v="9840"/>
    <n v="9661"/>
    <n v="9634"/>
    <n v="9676"/>
    <n v="9609"/>
    <n v="9864"/>
    <n v="9969"/>
    <n v="10031"/>
    <n v="9948"/>
  </r>
  <r>
    <x v="14"/>
    <s v="Pārgaujas novads"/>
    <n v="3926"/>
    <n v="3950"/>
    <n v="3938"/>
    <n v="3897"/>
    <n v="3815"/>
    <n v="3728"/>
    <n v="3666"/>
    <n v="3623"/>
    <n v="3638"/>
    <n v="3603"/>
  </r>
  <r>
    <x v="12"/>
    <s v="Pāvilostas novads"/>
    <n v="2858"/>
    <n v="2819"/>
    <n v="2742"/>
    <n v="2701"/>
    <n v="2658"/>
    <n v="2616"/>
    <n v="2575"/>
    <n v="2532"/>
    <n v="2597"/>
    <n v="2543"/>
  </r>
  <r>
    <x v="11"/>
    <s v="Pļaviņu novads"/>
    <n v="5623"/>
    <n v="5560"/>
    <n v="5462"/>
    <n v="5343"/>
    <n v="5286"/>
    <n v="5165"/>
    <n v="5031"/>
    <n v="4904"/>
    <n v="4818"/>
    <n v="4765"/>
  </r>
  <r>
    <x v="10"/>
    <s v="Preiļu novads"/>
    <n v="10532"/>
    <n v="10317"/>
    <n v="10083"/>
    <n v="9941"/>
    <n v="9768"/>
    <n v="9561"/>
    <n v="9382"/>
    <n v="9231"/>
    <n v="9045"/>
    <n v="8948"/>
  </r>
  <r>
    <x v="12"/>
    <s v="Priekules novads"/>
    <n v="5799"/>
    <n v="5747"/>
    <n v="5663"/>
    <n v="5555"/>
    <n v="5399"/>
    <n v="5336"/>
    <n v="5203"/>
    <n v="5067"/>
    <n v="5066"/>
    <n v="4955"/>
  </r>
  <r>
    <x v="14"/>
    <s v="Priekuļu novads"/>
    <n v="8323"/>
    <n v="8232"/>
    <n v="8050"/>
    <n v="7951"/>
    <n v="7940"/>
    <n v="7870"/>
    <n v="7719"/>
    <n v="7607"/>
    <n v="7602"/>
    <n v="7509"/>
  </r>
  <r>
    <x v="14"/>
    <s v="Raunas novads"/>
    <n v="3546"/>
    <n v="3490"/>
    <n v="3412"/>
    <n v="3349"/>
    <n v="3207"/>
    <n v="3125"/>
    <n v="3096"/>
    <n v="3023"/>
    <n v="3038"/>
    <n v="3005"/>
  </r>
  <r>
    <x v="10"/>
    <s v="Rēzeknes novads"/>
    <n v="28117"/>
    <n v="27913"/>
    <n v="27395"/>
    <n v="27162"/>
    <n v="26696"/>
    <n v="25937"/>
    <n v="25274"/>
    <n v="24687"/>
    <n v="24715"/>
    <n v="24244"/>
  </r>
  <r>
    <x v="10"/>
    <s v="Riebiņu novads"/>
    <n v="5479"/>
    <n v="5383"/>
    <n v="5270"/>
    <n v="5180"/>
    <n v="5077"/>
    <n v="4911"/>
    <n v="4779"/>
    <n v="4625"/>
    <n v="4614"/>
    <n v="4466"/>
  </r>
  <r>
    <x v="12"/>
    <s v="Rojas novads"/>
    <n v="3957"/>
    <n v="3933"/>
    <n v="3851"/>
    <n v="3799"/>
    <n v="3750"/>
    <n v="3638"/>
    <n v="3527"/>
    <n v="3427"/>
    <n v="3436"/>
    <n v="3390"/>
  </r>
  <r>
    <x v="13"/>
    <s v="Ropažu novads"/>
    <n v="6858"/>
    <n v="6858"/>
    <n v="6748"/>
    <n v="6700"/>
    <n v="6631"/>
    <n v="6641"/>
    <n v="6800"/>
    <n v="6834"/>
    <n v="6803"/>
    <n v="6836"/>
  </r>
  <r>
    <x v="12"/>
    <s v="Rucavas novads"/>
    <n v="1764"/>
    <n v="1728"/>
    <n v="1711"/>
    <n v="1681"/>
    <n v="1650"/>
    <n v="1626"/>
    <n v="1538"/>
    <n v="1478"/>
    <n v="1503"/>
    <n v="1505"/>
  </r>
  <r>
    <x v="10"/>
    <s v="Rugāju novads"/>
    <n v="2375"/>
    <n v="2365"/>
    <n v="2311"/>
    <n v="2266"/>
    <n v="2293"/>
    <n v="2212"/>
    <n v="2160"/>
    <n v="2108"/>
    <n v="2088"/>
    <n v="2026"/>
  </r>
  <r>
    <x v="11"/>
    <s v="Rundāles novads"/>
    <n v="3681"/>
    <n v="3671"/>
    <n v="3617"/>
    <n v="3531"/>
    <n v="3473"/>
    <n v="3421"/>
    <n v="3407"/>
    <n v="3356"/>
    <n v="3367"/>
    <n v="3290"/>
  </r>
  <r>
    <x v="14"/>
    <s v="Rūjienas novads"/>
    <n v="5516"/>
    <n v="5452"/>
    <n v="5321"/>
    <n v="5219"/>
    <n v="5156"/>
    <n v="5056"/>
    <n v="4992"/>
    <n v="4917"/>
    <n v="4913"/>
    <n v="4817"/>
  </r>
  <r>
    <x v="13"/>
    <s v="Salacgrīvas novads"/>
    <n v="8280"/>
    <n v="8182"/>
    <n v="8027"/>
    <n v="7959"/>
    <n v="7825"/>
    <n v="7574"/>
    <n v="7423"/>
    <n v="7228"/>
    <n v="7317"/>
    <n v="7282"/>
  </r>
  <r>
    <x v="11"/>
    <s v="Salas novads"/>
    <n v="3814"/>
    <n v="3793"/>
    <n v="3725"/>
    <n v="3646"/>
    <n v="3593"/>
    <n v="3496"/>
    <n v="3403"/>
    <n v="3332"/>
    <n v="3296"/>
    <n v="3241"/>
  </r>
  <r>
    <x v="13"/>
    <s v="Salaspils novads"/>
    <n v="22343"/>
    <n v="22314"/>
    <n v="22088"/>
    <n v="22208"/>
    <n v="22209"/>
    <n v="22291"/>
    <n v="22555"/>
    <n v="22659"/>
    <n v="22738"/>
    <n v="22868"/>
  </r>
  <r>
    <x v="12"/>
    <s v="Saldus novads"/>
    <n v="25267"/>
    <n v="24909"/>
    <n v="24494"/>
    <n v="24087"/>
    <n v="23661"/>
    <n v="23005"/>
    <n v="22422"/>
    <n v="22006"/>
    <n v="21778"/>
    <n v="21438"/>
  </r>
  <r>
    <x v="13"/>
    <s v="Saulkrastu novads"/>
    <n v="5845"/>
    <n v="5855"/>
    <n v="5773"/>
    <n v="5750"/>
    <n v="5690"/>
    <n v="5594"/>
    <n v="5751"/>
    <n v="6532"/>
    <n v="6871"/>
    <n v="7079"/>
  </r>
  <r>
    <x v="13"/>
    <s v="Sējas novads"/>
    <n v="2250"/>
    <n v="2246"/>
    <n v="2223"/>
    <n v="2229"/>
    <n v="2242"/>
    <n v="2185"/>
    <n v="2185"/>
    <n v="2128"/>
    <n v="2163"/>
    <n v="2151"/>
  </r>
  <r>
    <x v="13"/>
    <s v="Siguldas novads"/>
    <n v="16885"/>
    <n v="17055"/>
    <n v="17117"/>
    <n v="17322"/>
    <n v="17337"/>
    <n v="17258"/>
    <n v="17337"/>
    <n v="17761"/>
    <n v="18054"/>
    <n v="18081"/>
  </r>
  <r>
    <x v="11"/>
    <s v="Skrīveru novads"/>
    <n v="3652"/>
    <n v="3625"/>
    <n v="3554"/>
    <n v="3508"/>
    <n v="3474"/>
    <n v="3413"/>
    <n v="3366"/>
    <n v="3339"/>
    <n v="3413"/>
    <n v="3417"/>
  </r>
  <r>
    <x v="12"/>
    <s v="Skrundas novads"/>
    <n v="5274"/>
    <n v="5248"/>
    <n v="5142"/>
    <n v="5082"/>
    <n v="4922"/>
    <n v="4802"/>
    <n v="4747"/>
    <n v="4661"/>
    <n v="4592"/>
    <n v="4526"/>
  </r>
  <r>
    <x v="14"/>
    <s v="Smiltenes novads"/>
    <n v="13018"/>
    <n v="12956"/>
    <n v="12811"/>
    <n v="12697"/>
    <n v="12472"/>
    <n v="12290"/>
    <n v="12082"/>
    <n v="12015"/>
    <n v="12077"/>
    <n v="11945"/>
  </r>
  <r>
    <x v="13"/>
    <s v="Stopiņu novads"/>
    <n v="10075"/>
    <n v="10237"/>
    <n v="10195"/>
    <n v="10219"/>
    <n v="10237"/>
    <n v="10293"/>
    <n v="10492"/>
    <n v="10845"/>
    <n v="11563"/>
    <n v="12201"/>
  </r>
  <r>
    <x v="14"/>
    <s v="Strenču novads"/>
    <n v="3708"/>
    <n v="3589"/>
    <n v="3459"/>
    <n v="3334"/>
    <n v="3208"/>
    <n v="3077"/>
    <n v="2945"/>
    <n v="2915"/>
    <n v="2857"/>
    <n v="2892"/>
  </r>
  <r>
    <x v="12"/>
    <s v="Talsu novads"/>
    <n v="30845"/>
    <n v="30328"/>
    <n v="29747"/>
    <n v="29447"/>
    <n v="29004"/>
    <n v="28425"/>
    <n v="28071"/>
    <n v="27730"/>
    <n v="27689"/>
    <n v="27391"/>
  </r>
  <r>
    <x v="11"/>
    <s v="Tērvetes novads"/>
    <n v="3656"/>
    <n v="3579"/>
    <n v="3501"/>
    <n v="3438"/>
    <n v="3492"/>
    <n v="3398"/>
    <n v="3396"/>
    <n v="3339"/>
    <n v="3353"/>
    <n v="3273"/>
  </r>
  <r>
    <x v="13"/>
    <s v="Tukuma novads"/>
    <n v="30200"/>
    <n v="29719"/>
    <n v="29177"/>
    <n v="29069"/>
    <n v="28677"/>
    <n v="28221"/>
    <n v="27901"/>
    <n v="27848"/>
    <n v="27698"/>
    <n v="27614"/>
  </r>
  <r>
    <x v="12"/>
    <s v="Vaiņodes novads"/>
    <n v="2593"/>
    <n v="2583"/>
    <n v="2520"/>
    <n v="2469"/>
    <n v="2429"/>
    <n v="2397"/>
    <n v="2337"/>
    <n v="2285"/>
    <n v="2276"/>
    <n v="2216"/>
  </r>
  <r>
    <x v="14"/>
    <s v="Valkas novads"/>
    <n v="9082"/>
    <n v="8915"/>
    <n v="8664"/>
    <n v="8480"/>
    <n v="8269"/>
    <n v="8049"/>
    <n v="7813"/>
    <n v="7692"/>
    <n v="7684"/>
    <n v="7596"/>
  </r>
  <r>
    <x v="14"/>
    <s v="Varakļānu novads"/>
    <n v="3519"/>
    <n v="3481"/>
    <n v="3395"/>
    <n v="3340"/>
    <n v="3263"/>
    <n v="3216"/>
    <n v="3132"/>
    <n v="3056"/>
    <n v="3015"/>
    <n v="2945"/>
  </r>
  <r>
    <x v="10"/>
    <s v="Vārkavas novads"/>
    <n v="2099"/>
    <n v="2067"/>
    <n v="2034"/>
    <n v="2009"/>
    <n v="1961"/>
    <n v="1931"/>
    <n v="1869"/>
    <n v="1824"/>
    <n v="1830"/>
    <n v="1754"/>
  </r>
  <r>
    <x v="14"/>
    <s v="Vecpiebalgas novads"/>
    <n v="4129"/>
    <n v="4090"/>
    <n v="4030"/>
    <n v="3947"/>
    <n v="3849"/>
    <n v="3696"/>
    <n v="3615"/>
    <n v="3543"/>
    <n v="3645"/>
    <n v="3614"/>
  </r>
  <r>
    <x v="11"/>
    <s v="Vecumnieku novads"/>
    <n v="8691"/>
    <n v="8636"/>
    <n v="8486"/>
    <n v="8375"/>
    <n v="8263"/>
    <n v="7999"/>
    <n v="7893"/>
    <n v="7807"/>
    <n v="7848"/>
    <n v="7795"/>
  </r>
  <r>
    <x v="12"/>
    <s v="Ventspils novads"/>
    <n v="12053"/>
    <n v="12088"/>
    <n v="11859"/>
    <n v="11697"/>
    <n v="11450"/>
    <n v="11252"/>
    <n v="11061"/>
    <n v="10925"/>
    <n v="10936"/>
    <n v="10777"/>
  </r>
  <r>
    <x v="11"/>
    <s v="Viesītes novads"/>
    <n v="4070"/>
    <n v="4013"/>
    <n v="3965"/>
    <n v="3886"/>
    <n v="3815"/>
    <n v="3701"/>
    <n v="3619"/>
    <n v="3567"/>
    <n v="3574"/>
    <n v="3535"/>
  </r>
  <r>
    <x v="10"/>
    <s v="Viļakas novads"/>
    <n v="5560"/>
    <n v="5451"/>
    <n v="5314"/>
    <n v="5160"/>
    <n v="5015"/>
    <n v="4873"/>
    <n v="4733"/>
    <n v="4596"/>
    <n v="4551"/>
    <n v="4476"/>
  </r>
  <r>
    <x v="10"/>
    <s v="Viļānu novads"/>
    <n v="6344"/>
    <n v="6256"/>
    <n v="6113"/>
    <n v="6026"/>
    <n v="5904"/>
    <n v="5779"/>
    <n v="5659"/>
    <n v="5522"/>
    <n v="5506"/>
    <n v="5399"/>
  </r>
  <r>
    <x v="10"/>
    <s v="Zilupes novads"/>
    <n v="3312"/>
    <n v="3257"/>
    <n v="3167"/>
    <n v="3080"/>
    <n v="2989"/>
    <n v="2849"/>
    <n v="2766"/>
    <n v="2647"/>
    <n v="2621"/>
    <n v="254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
  <r>
    <n v="1893223"/>
    <n v="1876424"/>
    <n v="1859624"/>
    <n v="1842825"/>
    <n v="1826025"/>
    <n v="1809226"/>
    <n v="1792426"/>
    <n v="1775627"/>
    <n v="1758827"/>
    <n v="1742028"/>
    <x v="0"/>
  </r>
  <r>
    <n v="614618"/>
    <n v="615772"/>
    <n v="616925"/>
    <n v="618079"/>
    <n v="619232"/>
    <n v="620386"/>
    <n v="621539"/>
    <n v="622693"/>
    <n v="623846"/>
    <n v="625000"/>
    <x v="1"/>
  </r>
  <r>
    <n v="80627"/>
    <n v="79117"/>
    <n v="77607"/>
    <n v="76098"/>
    <n v="74588"/>
    <n v="73078"/>
    <n v="71568"/>
    <n v="70059"/>
    <n v="68549"/>
    <n v="67039"/>
    <x v="2"/>
  </r>
  <r>
    <n v="21629"/>
    <n v="21261"/>
    <n v="20893"/>
    <n v="20524"/>
    <n v="20156"/>
    <n v="19788"/>
    <n v="19420"/>
    <n v="19051"/>
    <n v="18683"/>
    <n v="18315"/>
    <x v="3"/>
  </r>
  <r>
    <n v="50248"/>
    <n v="49821"/>
    <n v="49394"/>
    <n v="48967"/>
    <n v="48540"/>
    <n v="48112"/>
    <n v="47685"/>
    <n v="47258"/>
    <n v="46831"/>
    <n v="46404"/>
    <x v="4"/>
  </r>
  <r>
    <n v="55336"/>
    <n v="54885"/>
    <n v="54435"/>
    <n v="53984"/>
    <n v="53533"/>
    <n v="53083"/>
    <n v="52632"/>
    <n v="52181"/>
    <n v="51731"/>
    <n v="51280"/>
    <x v="5"/>
  </r>
  <r>
    <n v="67964"/>
    <n v="66775"/>
    <n v="65587"/>
    <n v="64398"/>
    <n v="63210"/>
    <n v="62021"/>
    <n v="60833"/>
    <n v="59644"/>
    <n v="58456"/>
    <n v="57267"/>
    <x v="6"/>
  </r>
  <r>
    <n v="26839"/>
    <n v="26264"/>
    <n v="25689"/>
    <n v="25113"/>
    <n v="24538"/>
    <n v="23963"/>
    <n v="23388"/>
    <n v="22812"/>
    <n v="22237"/>
    <n v="21662"/>
    <x v="7"/>
  </r>
  <r>
    <n v="22971"/>
    <n v="22974"/>
    <n v="22977"/>
    <n v="22981"/>
    <n v="22984"/>
    <n v="22987"/>
    <n v="22990"/>
    <n v="22994"/>
    <n v="22997"/>
    <n v="23000"/>
    <x v="8"/>
  </r>
  <r>
    <n v="33372"/>
    <n v="32851"/>
    <n v="32329"/>
    <n v="31808"/>
    <n v="31287"/>
    <n v="30765"/>
    <n v="30244"/>
    <n v="29723"/>
    <n v="29201"/>
    <n v="28680"/>
    <x v="9"/>
  </r>
  <r>
    <n v="3042"/>
    <n v="2970"/>
    <n v="2897"/>
    <n v="2825"/>
    <n v="2753"/>
    <n v="2680"/>
    <n v="2608"/>
    <n v="2536"/>
    <n v="2463"/>
    <n v="2391"/>
    <x v="10"/>
  </r>
  <r>
    <n v="8017"/>
    <n v="7873"/>
    <n v="7729"/>
    <n v="7586"/>
    <n v="7442"/>
    <n v="7298"/>
    <n v="7154"/>
    <n v="7011"/>
    <n v="6867"/>
    <n v="6723"/>
    <x v="11"/>
  </r>
  <r>
    <n v="8083"/>
    <n v="7946"/>
    <n v="7809"/>
    <n v="7672"/>
    <n v="7535"/>
    <n v="7398"/>
    <n v="7261"/>
    <n v="7124"/>
    <n v="6987"/>
    <n v="6850"/>
    <x v="12"/>
  </r>
  <r>
    <n v="2546"/>
    <n v="2478"/>
    <n v="2410"/>
    <n v="2342"/>
    <n v="2274"/>
    <n v="2206"/>
    <n v="2138"/>
    <n v="2070"/>
    <n v="2002"/>
    <n v="1934"/>
    <x v="11"/>
  </r>
  <r>
    <n v="4520"/>
    <n v="4432"/>
    <n v="4345"/>
    <n v="4257"/>
    <n v="4169"/>
    <n v="4082"/>
    <n v="3994"/>
    <n v="3906"/>
    <n v="3819"/>
    <n v="3731"/>
    <x v="13"/>
  </r>
  <r>
    <n v="1303"/>
    <n v="1278"/>
    <n v="1254"/>
    <n v="1229"/>
    <n v="1204"/>
    <n v="1180"/>
    <n v="1155"/>
    <n v="1130"/>
    <n v="1106"/>
    <n v="1081"/>
    <x v="12"/>
  </r>
  <r>
    <n v="13861"/>
    <n v="13430"/>
    <n v="12998"/>
    <n v="12567"/>
    <n v="12136"/>
    <n v="11704"/>
    <n v="11273"/>
    <n v="10842"/>
    <n v="10410"/>
    <n v="9979"/>
    <x v="14"/>
  </r>
  <r>
    <n v="5042"/>
    <n v="4900"/>
    <n v="4758"/>
    <n v="4616"/>
    <n v="4474"/>
    <n v="4332"/>
    <n v="4190"/>
    <n v="4048"/>
    <n v="3906"/>
    <n v="3764"/>
    <x v="14"/>
  </r>
  <r>
    <n v="3205"/>
    <n v="3124"/>
    <n v="3043"/>
    <n v="2962"/>
    <n v="2881"/>
    <n v="2800"/>
    <n v="2719"/>
    <n v="2638"/>
    <n v="2557"/>
    <n v="2476"/>
    <x v="14"/>
  </r>
  <r>
    <n v="6025"/>
    <n v="5878"/>
    <n v="5732"/>
    <n v="5585"/>
    <n v="5439"/>
    <n v="5292"/>
    <n v="5146"/>
    <n v="4999"/>
    <n v="4853"/>
    <n v="4706"/>
    <x v="11"/>
  </r>
  <r>
    <n v="11824"/>
    <n v="12051"/>
    <n v="12277"/>
    <n v="12504"/>
    <n v="12731"/>
    <n v="12957"/>
    <n v="13184"/>
    <n v="13411"/>
    <n v="13637"/>
    <n v="13864"/>
    <x v="13"/>
  </r>
  <r>
    <n v="11247"/>
    <n v="11352"/>
    <n v="11457"/>
    <n v="11562"/>
    <n v="11667"/>
    <n v="11772"/>
    <n v="11877"/>
    <n v="11982"/>
    <n v="12087"/>
    <n v="12192"/>
    <x v="13"/>
  </r>
  <r>
    <n v="5446"/>
    <n v="5471"/>
    <n v="5496"/>
    <n v="5522"/>
    <n v="5547"/>
    <n v="5572"/>
    <n v="5597"/>
    <n v="5623"/>
    <n v="5648"/>
    <n v="5673"/>
    <x v="13"/>
  </r>
  <r>
    <n v="937"/>
    <n v="915"/>
    <n v="893"/>
    <n v="871"/>
    <n v="849"/>
    <n v="826"/>
    <n v="804"/>
    <n v="782"/>
    <n v="760"/>
    <n v="738"/>
    <x v="10"/>
  </r>
  <r>
    <n v="11576"/>
    <n v="11292"/>
    <n v="11008"/>
    <n v="10723"/>
    <n v="10439"/>
    <n v="10155"/>
    <n v="9871"/>
    <n v="9586"/>
    <n v="9302"/>
    <n v="9018"/>
    <x v="10"/>
  </r>
  <r>
    <n v="22259"/>
    <n v="21899"/>
    <n v="21539"/>
    <n v="21178"/>
    <n v="20818"/>
    <n v="20458"/>
    <n v="20098"/>
    <n v="19737"/>
    <n v="19377"/>
    <n v="19017"/>
    <x v="11"/>
  </r>
  <r>
    <n v="2948"/>
    <n v="2895"/>
    <n v="2842"/>
    <n v="2788"/>
    <n v="2735"/>
    <n v="2682"/>
    <n v="2629"/>
    <n v="2575"/>
    <n v="2522"/>
    <n v="2469"/>
    <x v="14"/>
  </r>
  <r>
    <n v="5672"/>
    <n v="5556"/>
    <n v="5440"/>
    <n v="5325"/>
    <n v="5209"/>
    <n v="5093"/>
    <n v="4977"/>
    <n v="4862"/>
    <n v="4746"/>
    <n v="4630"/>
    <x v="12"/>
  </r>
  <r>
    <n v="7410"/>
    <n v="7314"/>
    <n v="7218"/>
    <n v="7122"/>
    <n v="7026"/>
    <n v="6929"/>
    <n v="6833"/>
    <n v="6737"/>
    <n v="6641"/>
    <n v="6545"/>
    <x v="14"/>
  </r>
  <r>
    <n v="9310"/>
    <n v="9290"/>
    <n v="9269"/>
    <n v="9249"/>
    <n v="9228"/>
    <n v="9208"/>
    <n v="9187"/>
    <n v="9167"/>
    <n v="9146"/>
    <n v="9126"/>
    <x v="13"/>
  </r>
  <r>
    <n v="2253"/>
    <n v="2198"/>
    <n v="2144"/>
    <n v="2089"/>
    <n v="2035"/>
    <n v="1980"/>
    <n v="1926"/>
    <n v="1871"/>
    <n v="1817"/>
    <n v="1762"/>
    <x v="14"/>
  </r>
  <r>
    <n v="16143"/>
    <n v="15785"/>
    <n v="15426"/>
    <n v="15068"/>
    <n v="14710"/>
    <n v="14351"/>
    <n v="13993"/>
    <n v="13635"/>
    <n v="13276"/>
    <n v="12918"/>
    <x v="14"/>
  </r>
  <r>
    <n v="2362"/>
    <n v="2316"/>
    <n v="2270"/>
    <n v="2225"/>
    <n v="2179"/>
    <n v="2133"/>
    <n v="2087"/>
    <n v="2042"/>
    <n v="1996"/>
    <n v="1950"/>
    <x v="10"/>
  </r>
  <r>
    <n v="6475"/>
    <n v="6316"/>
    <n v="6156"/>
    <n v="5997"/>
    <n v="5838"/>
    <n v="5678"/>
    <n v="5519"/>
    <n v="5360"/>
    <n v="5200"/>
    <n v="5041"/>
    <x v="10"/>
  </r>
  <r>
    <n v="19553"/>
    <n v="18967"/>
    <n v="18381"/>
    <n v="17794"/>
    <n v="17208"/>
    <n v="16622"/>
    <n v="16036"/>
    <n v="15449"/>
    <n v="14863"/>
    <n v="14277"/>
    <x v="10"/>
  </r>
  <r>
    <n v="19219"/>
    <n v="18842"/>
    <n v="18464"/>
    <n v="18087"/>
    <n v="17709"/>
    <n v="17332"/>
    <n v="16954"/>
    <n v="16577"/>
    <n v="16199"/>
    <n v="15822"/>
    <x v="11"/>
  </r>
  <r>
    <n v="3487"/>
    <n v="3431"/>
    <n v="3374"/>
    <n v="3318"/>
    <n v="3261"/>
    <n v="3205"/>
    <n v="3148"/>
    <n v="3092"/>
    <n v="3035"/>
    <n v="2979"/>
    <x v="12"/>
  </r>
  <r>
    <n v="2620"/>
    <n v="2563"/>
    <n v="2506"/>
    <n v="2449"/>
    <n v="2392"/>
    <n v="2335"/>
    <n v="2278"/>
    <n v="2221"/>
    <n v="2164"/>
    <n v="2107"/>
    <x v="12"/>
  </r>
  <r>
    <n v="7147"/>
    <n v="7052"/>
    <n v="6956"/>
    <n v="6861"/>
    <n v="6765"/>
    <n v="6670"/>
    <n v="6574"/>
    <n v="6479"/>
    <n v="6383"/>
    <n v="6288"/>
    <x v="13"/>
  </r>
  <r>
    <n v="2600"/>
    <n v="2533"/>
    <n v="2466"/>
    <n v="2399"/>
    <n v="2332"/>
    <n v="2266"/>
    <n v="2199"/>
    <n v="2132"/>
    <n v="2065"/>
    <n v="1998"/>
    <x v="14"/>
  </r>
  <r>
    <n v="9425"/>
    <n v="9469"/>
    <n v="9512"/>
    <n v="9556"/>
    <n v="9599"/>
    <n v="9643"/>
    <n v="9686"/>
    <n v="9730"/>
    <n v="9773"/>
    <n v="9817"/>
    <x v="13"/>
  </r>
  <r>
    <n v="8329"/>
    <n v="8186"/>
    <n v="8043"/>
    <n v="7900"/>
    <n v="7757"/>
    <n v="7613"/>
    <n v="7470"/>
    <n v="7327"/>
    <n v="7184"/>
    <n v="7041"/>
    <x v="12"/>
  </r>
  <r>
    <n v="19619"/>
    <n v="19190"/>
    <n v="18761"/>
    <n v="18332"/>
    <n v="17903"/>
    <n v="17475"/>
    <n v="17046"/>
    <n v="16617"/>
    <n v="16188"/>
    <n v="15759"/>
    <x v="14"/>
  </r>
  <r>
    <n v="8411"/>
    <n v="8295"/>
    <n v="8179"/>
    <n v="8062"/>
    <n v="7946"/>
    <n v="7830"/>
    <n v="7714"/>
    <n v="7597"/>
    <n v="7481"/>
    <n v="7365"/>
    <x v="11"/>
  </r>
  <r>
    <n v="9967"/>
    <n v="10074"/>
    <n v="10181"/>
    <n v="10288"/>
    <n v="10395"/>
    <n v="10502"/>
    <n v="10609"/>
    <n v="10716"/>
    <n v="10823"/>
    <n v="10930"/>
    <x v="13"/>
  </r>
  <r>
    <n v="6374"/>
    <n v="6227"/>
    <n v="6081"/>
    <n v="5934"/>
    <n v="5787"/>
    <n v="5641"/>
    <n v="5494"/>
    <n v="5347"/>
    <n v="5201"/>
    <n v="5054"/>
    <x v="10"/>
  </r>
  <r>
    <n v="7622"/>
    <n v="7548"/>
    <n v="7474"/>
    <n v="7400"/>
    <n v="7326"/>
    <n v="7253"/>
    <n v="7179"/>
    <n v="7105"/>
    <n v="7031"/>
    <n v="6957"/>
    <x v="13"/>
  </r>
  <r>
    <n v="5039"/>
    <n v="4966"/>
    <n v="4893"/>
    <n v="4820"/>
    <n v="4747"/>
    <n v="4674"/>
    <n v="4601"/>
    <n v="4528"/>
    <n v="4455"/>
    <n v="4382"/>
    <x v="11"/>
  </r>
  <r>
    <n v="1992"/>
    <n v="1942"/>
    <n v="1893"/>
    <n v="1843"/>
    <n v="1793"/>
    <n v="1744"/>
    <n v="1694"/>
    <n v="1644"/>
    <n v="1595"/>
    <n v="1545"/>
    <x v="14"/>
  </r>
  <r>
    <n v="2188"/>
    <n v="2158"/>
    <n v="2128"/>
    <n v="2098"/>
    <n v="2068"/>
    <n v="2038"/>
    <n v="2008"/>
    <n v="1978"/>
    <n v="1948"/>
    <n v="1918"/>
    <x v="13"/>
  </r>
  <r>
    <n v="22021"/>
    <n v="21627"/>
    <n v="21232"/>
    <n v="20838"/>
    <n v="20443"/>
    <n v="20049"/>
    <n v="19654"/>
    <n v="19260"/>
    <n v="18865"/>
    <n v="18471"/>
    <x v="11"/>
  </r>
  <r>
    <n v="4164"/>
    <n v="4079"/>
    <n v="3994"/>
    <n v="3908"/>
    <n v="3823"/>
    <n v="3738"/>
    <n v="3653"/>
    <n v="3567"/>
    <n v="3482"/>
    <n v="3397"/>
    <x v="11"/>
  </r>
  <r>
    <n v="7462"/>
    <n v="7332"/>
    <n v="7203"/>
    <n v="7073"/>
    <n v="6943"/>
    <n v="6814"/>
    <n v="6684"/>
    <n v="6554"/>
    <n v="6425"/>
    <n v="6295"/>
    <x v="13"/>
  </r>
  <r>
    <n v="5127"/>
    <n v="5004"/>
    <n v="4880"/>
    <n v="4757"/>
    <n v="4634"/>
    <n v="4510"/>
    <n v="4387"/>
    <n v="4264"/>
    <n v="4140"/>
    <n v="4017"/>
    <x v="10"/>
  </r>
  <r>
    <n v="5776"/>
    <n v="5687"/>
    <n v="5598"/>
    <n v="5509"/>
    <n v="5420"/>
    <n v="5331"/>
    <n v="5242"/>
    <n v="5153"/>
    <n v="5064"/>
    <n v="4975"/>
    <x v="14"/>
  </r>
  <r>
    <n v="4851"/>
    <n v="4789"/>
    <n v="4727"/>
    <n v="4665"/>
    <n v="4603"/>
    <n v="4540"/>
    <n v="4478"/>
    <n v="4416"/>
    <n v="4354"/>
    <n v="4292"/>
    <x v="11"/>
  </r>
  <r>
    <n v="13533"/>
    <n v="13158"/>
    <n v="12782"/>
    <n v="12407"/>
    <n v="12032"/>
    <n v="11656"/>
    <n v="11281"/>
    <n v="10906"/>
    <n v="10530"/>
    <n v="10155"/>
    <x v="10"/>
  </r>
  <r>
    <n v="4833"/>
    <n v="4764"/>
    <n v="4694"/>
    <n v="4625"/>
    <n v="4556"/>
    <n v="4486"/>
    <n v="4417"/>
    <n v="4348"/>
    <n v="4278"/>
    <n v="4209"/>
    <x v="13"/>
  </r>
  <r>
    <n v="5461"/>
    <n v="5389"/>
    <n v="5317"/>
    <n v="5244"/>
    <n v="5172"/>
    <n v="5100"/>
    <n v="5028"/>
    <n v="4955"/>
    <n v="4883"/>
    <n v="4811"/>
    <x v="11"/>
  </r>
  <r>
    <n v="21907"/>
    <n v="21570"/>
    <n v="21234"/>
    <n v="20897"/>
    <n v="20561"/>
    <n v="20224"/>
    <n v="19888"/>
    <n v="19551"/>
    <n v="19215"/>
    <n v="18878"/>
    <x v="12"/>
  </r>
  <r>
    <n v="5313"/>
    <n v="5254"/>
    <n v="5196"/>
    <n v="5137"/>
    <n v="5079"/>
    <n v="5020"/>
    <n v="4962"/>
    <n v="4903"/>
    <n v="4845"/>
    <n v="4786"/>
    <x v="13"/>
  </r>
  <r>
    <n v="24631"/>
    <n v="24660"/>
    <n v="24688"/>
    <n v="24717"/>
    <n v="24746"/>
    <n v="24774"/>
    <n v="24803"/>
    <n v="24832"/>
    <n v="24860"/>
    <n v="24889"/>
    <x v="13"/>
  </r>
  <r>
    <n v="9547"/>
    <n v="9451"/>
    <n v="9356"/>
    <n v="9260"/>
    <n v="9164"/>
    <n v="9069"/>
    <n v="8973"/>
    <n v="8877"/>
    <n v="8782"/>
    <n v="8686"/>
    <x v="13"/>
  </r>
  <r>
    <n v="16744"/>
    <n v="16441"/>
    <n v="16138"/>
    <n v="15835"/>
    <n v="15532"/>
    <n v="15229"/>
    <n v="14926"/>
    <n v="14623"/>
    <n v="14320"/>
    <n v="14017"/>
    <x v="13"/>
  </r>
  <r>
    <n v="3258"/>
    <n v="3171"/>
    <n v="3085"/>
    <n v="2998"/>
    <n v="2911"/>
    <n v="2825"/>
    <n v="2738"/>
    <n v="2651"/>
    <n v="2565"/>
    <n v="2478"/>
    <x v="14"/>
  </r>
  <r>
    <n v="10636"/>
    <n v="10414"/>
    <n v="10192"/>
    <n v="9970"/>
    <n v="9748"/>
    <n v="9525"/>
    <n v="9303"/>
    <n v="9081"/>
    <n v="8859"/>
    <n v="8637"/>
    <x v="10"/>
  </r>
  <r>
    <n v="2163"/>
    <n v="2123"/>
    <n v="2083"/>
    <n v="2044"/>
    <n v="2004"/>
    <n v="1964"/>
    <n v="1924"/>
    <n v="1885"/>
    <n v="1845"/>
    <n v="1805"/>
    <x v="14"/>
  </r>
  <r>
    <n v="11739"/>
    <n v="11499"/>
    <n v="11259"/>
    <n v="11019"/>
    <n v="10779"/>
    <n v="10539"/>
    <n v="10299"/>
    <n v="10059"/>
    <n v="9819"/>
    <n v="9579"/>
    <x v="10"/>
  </r>
  <r>
    <n v="21676"/>
    <n v="21228"/>
    <n v="20780"/>
    <n v="20332"/>
    <n v="19884"/>
    <n v="19437"/>
    <n v="18989"/>
    <n v="18541"/>
    <n v="18093"/>
    <n v="17645"/>
    <x v="14"/>
  </r>
  <r>
    <n v="2867"/>
    <n v="2790"/>
    <n v="2714"/>
    <n v="2637"/>
    <n v="2560"/>
    <n v="2484"/>
    <n v="2407"/>
    <n v="2330"/>
    <n v="2254"/>
    <n v="2177"/>
    <x v="14"/>
  </r>
  <r>
    <n v="3324"/>
    <n v="3296"/>
    <n v="3268"/>
    <n v="3239"/>
    <n v="3211"/>
    <n v="3183"/>
    <n v="3155"/>
    <n v="3126"/>
    <n v="3098"/>
    <n v="3070"/>
    <x v="13"/>
  </r>
  <r>
    <n v="21577"/>
    <n v="22373"/>
    <n v="23169"/>
    <n v="23965"/>
    <n v="24761"/>
    <n v="25556"/>
    <n v="26352"/>
    <n v="27148"/>
    <n v="27944"/>
    <n v="28740"/>
    <x v="13"/>
  </r>
  <r>
    <n v="1431"/>
    <n v="1408"/>
    <n v="1385"/>
    <n v="1361"/>
    <n v="1338"/>
    <n v="1315"/>
    <n v="1292"/>
    <n v="1268"/>
    <n v="1245"/>
    <n v="1222"/>
    <x v="12"/>
  </r>
  <r>
    <n v="1689"/>
    <n v="1642"/>
    <n v="1596"/>
    <n v="1549"/>
    <n v="1503"/>
    <n v="1456"/>
    <n v="1410"/>
    <n v="1363"/>
    <n v="1317"/>
    <n v="1270"/>
    <x v="14"/>
  </r>
  <r>
    <n v="3278"/>
    <n v="3221"/>
    <n v="3164"/>
    <n v="3107"/>
    <n v="3050"/>
    <n v="2994"/>
    <n v="2937"/>
    <n v="2880"/>
    <n v="2823"/>
    <n v="2766"/>
    <x v="11"/>
  </r>
  <r>
    <n v="3113"/>
    <n v="3058"/>
    <n v="3003"/>
    <n v="2947"/>
    <n v="2892"/>
    <n v="2837"/>
    <n v="2782"/>
    <n v="2726"/>
    <n v="2671"/>
    <n v="2616"/>
    <x v="12"/>
  </r>
  <r>
    <n v="32790"/>
    <n v="32305"/>
    <n v="31820"/>
    <n v="31334"/>
    <n v="30849"/>
    <n v="30364"/>
    <n v="29879"/>
    <n v="29393"/>
    <n v="28908"/>
    <n v="28423"/>
    <x v="13"/>
  </r>
  <r>
    <n v="19705"/>
    <n v="19494"/>
    <n v="19283"/>
    <n v="19071"/>
    <n v="18860"/>
    <n v="18649"/>
    <n v="18438"/>
    <n v="18226"/>
    <n v="18015"/>
    <n v="17804"/>
    <x v="13"/>
  </r>
  <r>
    <n v="9948"/>
    <n v="9970"/>
    <n v="9993"/>
    <n v="10015"/>
    <n v="10038"/>
    <n v="10060"/>
    <n v="10083"/>
    <n v="10105"/>
    <n v="10128"/>
    <n v="10150"/>
    <x v="11"/>
  </r>
  <r>
    <n v="3603"/>
    <n v="3540"/>
    <n v="3477"/>
    <n v="3415"/>
    <n v="3352"/>
    <n v="3289"/>
    <n v="3226"/>
    <n v="3164"/>
    <n v="3101"/>
    <n v="3038"/>
    <x v="14"/>
  </r>
  <r>
    <n v="2543"/>
    <n v="2498"/>
    <n v="2453"/>
    <n v="2408"/>
    <n v="2363"/>
    <n v="2317"/>
    <n v="2272"/>
    <n v="2227"/>
    <n v="2182"/>
    <n v="2137"/>
    <x v="12"/>
  </r>
  <r>
    <n v="4765"/>
    <n v="4677"/>
    <n v="4589"/>
    <n v="4501"/>
    <n v="4413"/>
    <n v="4324"/>
    <n v="4236"/>
    <n v="4148"/>
    <n v="4060"/>
    <n v="3972"/>
    <x v="11"/>
  </r>
  <r>
    <n v="8948"/>
    <n v="8762"/>
    <n v="8577"/>
    <n v="8391"/>
    <n v="8205"/>
    <n v="8020"/>
    <n v="7834"/>
    <n v="7648"/>
    <n v="7463"/>
    <n v="7277"/>
    <x v="10"/>
  </r>
  <r>
    <n v="4955"/>
    <n v="4868"/>
    <n v="4781"/>
    <n v="4693"/>
    <n v="4606"/>
    <n v="4519"/>
    <n v="4432"/>
    <n v="4344"/>
    <n v="4257"/>
    <n v="4170"/>
    <x v="12"/>
  </r>
  <r>
    <n v="7509"/>
    <n v="7377"/>
    <n v="7245"/>
    <n v="7113"/>
    <n v="6981"/>
    <n v="6848"/>
    <n v="6716"/>
    <n v="6584"/>
    <n v="6452"/>
    <n v="6320"/>
    <x v="14"/>
  </r>
  <r>
    <n v="3005"/>
    <n v="2919"/>
    <n v="2832"/>
    <n v="2746"/>
    <n v="2660"/>
    <n v="2573"/>
    <n v="2487"/>
    <n v="2401"/>
    <n v="2314"/>
    <n v="2228"/>
    <x v="14"/>
  </r>
  <r>
    <n v="24244"/>
    <n v="23823"/>
    <n v="23402"/>
    <n v="22982"/>
    <n v="22561"/>
    <n v="22140"/>
    <n v="21719"/>
    <n v="21299"/>
    <n v="20878"/>
    <n v="20457"/>
    <x v="10"/>
  </r>
  <r>
    <n v="4466"/>
    <n v="4370"/>
    <n v="4275"/>
    <n v="4179"/>
    <n v="4084"/>
    <n v="3988"/>
    <n v="3893"/>
    <n v="3797"/>
    <n v="3702"/>
    <n v="3606"/>
    <x v="10"/>
  </r>
  <r>
    <n v="3390"/>
    <n v="3328"/>
    <n v="3266"/>
    <n v="3204"/>
    <n v="3142"/>
    <n v="3079"/>
    <n v="3017"/>
    <n v="2955"/>
    <n v="2893"/>
    <n v="2831"/>
    <x v="12"/>
  </r>
  <r>
    <n v="6836"/>
    <n v="6846"/>
    <n v="6856"/>
    <n v="6865"/>
    <n v="6875"/>
    <n v="6885"/>
    <n v="6895"/>
    <n v="6904"/>
    <n v="6914"/>
    <n v="6924"/>
    <x v="13"/>
  </r>
  <r>
    <n v="1505"/>
    <n v="1463"/>
    <n v="1421"/>
    <n v="1379"/>
    <n v="1337"/>
    <n v="1295"/>
    <n v="1253"/>
    <n v="1211"/>
    <n v="1169"/>
    <n v="1127"/>
    <x v="12"/>
  </r>
  <r>
    <n v="2026"/>
    <n v="2003"/>
    <n v="1980"/>
    <n v="1957"/>
    <n v="1934"/>
    <n v="1910"/>
    <n v="1887"/>
    <n v="1864"/>
    <n v="1841"/>
    <n v="1818"/>
    <x v="10"/>
  </r>
  <r>
    <n v="3290"/>
    <n v="3249"/>
    <n v="3207"/>
    <n v="3166"/>
    <n v="3124"/>
    <n v="3083"/>
    <n v="3041"/>
    <n v="3000"/>
    <n v="2958"/>
    <n v="2917"/>
    <x v="11"/>
  </r>
  <r>
    <n v="4817"/>
    <n v="4711"/>
    <n v="4605"/>
    <n v="4500"/>
    <n v="4394"/>
    <n v="4288"/>
    <n v="4182"/>
    <n v="4077"/>
    <n v="3971"/>
    <n v="3865"/>
    <x v="14"/>
  </r>
  <r>
    <n v="7282"/>
    <n v="7147"/>
    <n v="7012"/>
    <n v="6877"/>
    <n v="6742"/>
    <n v="6606"/>
    <n v="6471"/>
    <n v="6336"/>
    <n v="6201"/>
    <n v="6066"/>
    <x v="13"/>
  </r>
  <r>
    <n v="3241"/>
    <n v="3189"/>
    <n v="3138"/>
    <n v="3086"/>
    <n v="3035"/>
    <n v="2983"/>
    <n v="2932"/>
    <n v="2880"/>
    <n v="2829"/>
    <n v="2777"/>
    <x v="11"/>
  </r>
  <r>
    <n v="22868"/>
    <n v="23017"/>
    <n v="23165"/>
    <n v="23314"/>
    <n v="23462"/>
    <n v="23611"/>
    <n v="23759"/>
    <n v="23908"/>
    <n v="24056"/>
    <n v="24205"/>
    <x v="13"/>
  </r>
  <r>
    <n v="21438"/>
    <n v="20996"/>
    <n v="20554"/>
    <n v="20112"/>
    <n v="19670"/>
    <n v="19227"/>
    <n v="18785"/>
    <n v="18343"/>
    <n v="17901"/>
    <n v="17459"/>
    <x v="12"/>
  </r>
  <r>
    <n v="7079"/>
    <n v="6951"/>
    <n v="6823"/>
    <n v="6695"/>
    <n v="6567"/>
    <n v="6438"/>
    <n v="6310"/>
    <n v="6182"/>
    <n v="6054"/>
    <n v="5926"/>
    <x v="13"/>
  </r>
  <r>
    <n v="2151"/>
    <n v="2135"/>
    <n v="2120"/>
    <n v="2104"/>
    <n v="2089"/>
    <n v="2073"/>
    <n v="2058"/>
    <n v="2042"/>
    <n v="2027"/>
    <n v="2011"/>
    <x v="13"/>
  </r>
  <r>
    <n v="18081"/>
    <n v="18101"/>
    <n v="18121"/>
    <n v="18140"/>
    <n v="18160"/>
    <n v="18180"/>
    <n v="18200"/>
    <n v="18219"/>
    <n v="18239"/>
    <n v="18259"/>
    <x v="13"/>
  </r>
  <r>
    <n v="3417"/>
    <n v="3351"/>
    <n v="3285"/>
    <n v="3219"/>
    <n v="3153"/>
    <n v="3086"/>
    <n v="3020"/>
    <n v="2954"/>
    <n v="2888"/>
    <n v="2822"/>
    <x v="11"/>
  </r>
  <r>
    <n v="4526"/>
    <n v="4445"/>
    <n v="4365"/>
    <n v="4284"/>
    <n v="4203"/>
    <n v="4123"/>
    <n v="4042"/>
    <n v="3961"/>
    <n v="3881"/>
    <n v="3800"/>
    <x v="12"/>
  </r>
  <r>
    <n v="11945"/>
    <n v="11724"/>
    <n v="11503"/>
    <n v="11282"/>
    <n v="11061"/>
    <n v="10840"/>
    <n v="10619"/>
    <n v="10398"/>
    <n v="10177"/>
    <n v="9956"/>
    <x v="14"/>
  </r>
  <r>
    <n v="12201"/>
    <n v="12096"/>
    <n v="11992"/>
    <n v="11887"/>
    <n v="11782"/>
    <n v="11678"/>
    <n v="11573"/>
    <n v="11468"/>
    <n v="11364"/>
    <n v="11259"/>
    <x v="13"/>
  </r>
  <r>
    <n v="2892"/>
    <n v="2758"/>
    <n v="2624"/>
    <n v="2489"/>
    <n v="2355"/>
    <n v="2221"/>
    <n v="2087"/>
    <n v="1952"/>
    <n v="1818"/>
    <n v="1684"/>
    <x v="14"/>
  </r>
  <r>
    <n v="27391"/>
    <n v="26899"/>
    <n v="26407"/>
    <n v="25915"/>
    <n v="25423"/>
    <n v="24930"/>
    <n v="24438"/>
    <n v="23946"/>
    <n v="23454"/>
    <n v="22962"/>
    <x v="12"/>
  </r>
  <r>
    <n v="3273"/>
    <n v="3233"/>
    <n v="3192"/>
    <n v="3152"/>
    <n v="3112"/>
    <n v="3071"/>
    <n v="3031"/>
    <n v="2991"/>
    <n v="2950"/>
    <n v="2910"/>
    <x v="11"/>
  </r>
  <r>
    <n v="27614"/>
    <n v="27160"/>
    <n v="26707"/>
    <n v="26253"/>
    <n v="25799"/>
    <n v="25346"/>
    <n v="24892"/>
    <n v="24438"/>
    <n v="23985"/>
    <n v="23531"/>
    <x v="13"/>
  </r>
  <r>
    <n v="2216"/>
    <n v="2181"/>
    <n v="2145"/>
    <n v="2110"/>
    <n v="2074"/>
    <n v="2039"/>
    <n v="2003"/>
    <n v="1968"/>
    <n v="1932"/>
    <n v="1897"/>
    <x v="12"/>
  </r>
  <r>
    <n v="7596"/>
    <n v="7345"/>
    <n v="7094"/>
    <n v="6844"/>
    <n v="6593"/>
    <n v="6342"/>
    <n v="6091"/>
    <n v="5841"/>
    <n v="5590"/>
    <n v="5339"/>
    <x v="14"/>
  </r>
  <r>
    <n v="2945"/>
    <n v="2880"/>
    <n v="2815"/>
    <n v="2751"/>
    <n v="2686"/>
    <n v="2621"/>
    <n v="2556"/>
    <n v="2492"/>
    <n v="2427"/>
    <n v="2362"/>
    <x v="14"/>
  </r>
  <r>
    <n v="1754"/>
    <n v="1724"/>
    <n v="1695"/>
    <n v="1665"/>
    <n v="1636"/>
    <n v="1606"/>
    <n v="1577"/>
    <n v="1547"/>
    <n v="1518"/>
    <n v="1488"/>
    <x v="10"/>
  </r>
  <r>
    <n v="3614"/>
    <n v="3506"/>
    <n v="3398"/>
    <n v="3290"/>
    <n v="3182"/>
    <n v="3074"/>
    <n v="2966"/>
    <n v="2858"/>
    <n v="2750"/>
    <n v="2642"/>
    <x v="14"/>
  </r>
  <r>
    <n v="7795"/>
    <n v="7650"/>
    <n v="7505"/>
    <n v="7359"/>
    <n v="7214"/>
    <n v="7069"/>
    <n v="6924"/>
    <n v="6778"/>
    <n v="6633"/>
    <n v="6488"/>
    <x v="11"/>
  </r>
  <r>
    <n v="10777"/>
    <n v="10610"/>
    <n v="10443"/>
    <n v="10275"/>
    <n v="10108"/>
    <n v="9941"/>
    <n v="9774"/>
    <n v="9606"/>
    <n v="9439"/>
    <n v="9272"/>
    <x v="12"/>
  </r>
  <r>
    <n v="3535"/>
    <n v="3451"/>
    <n v="3367"/>
    <n v="3283"/>
    <n v="3199"/>
    <n v="3116"/>
    <n v="3032"/>
    <n v="2948"/>
    <n v="2864"/>
    <n v="2780"/>
    <x v="11"/>
  </r>
  <r>
    <n v="4476"/>
    <n v="4352"/>
    <n v="4228"/>
    <n v="4104"/>
    <n v="3980"/>
    <n v="3855"/>
    <n v="3731"/>
    <n v="3607"/>
    <n v="3483"/>
    <n v="3359"/>
    <x v="10"/>
  </r>
  <r>
    <n v="5399"/>
    <n v="5293"/>
    <n v="5186"/>
    <n v="5080"/>
    <n v="4973"/>
    <n v="4867"/>
    <n v="4760"/>
    <n v="4654"/>
    <n v="4547"/>
    <n v="4441"/>
    <x v="10"/>
  </r>
  <r>
    <n v="2549"/>
    <n v="2479"/>
    <n v="2410"/>
    <n v="2340"/>
    <n v="2270"/>
    <n v="2201"/>
    <n v="2131"/>
    <n v="2061"/>
    <n v="1992"/>
    <n v="1922"/>
    <x v="1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
  <r>
    <s v="LATVIJA KOPĀ"/>
    <x v="0"/>
    <s v="n/a"/>
    <x v="0"/>
    <n v="64573"/>
    <n v="1893223"/>
    <n v="1876426"/>
    <n v="1859631"/>
    <n v="1742028"/>
    <n v="31075056.674999997"/>
    <n v="32659884.565424994"/>
    <n v="33900960.178911142"/>
    <n v="41020161.816482484"/>
    <n v="853164.62430482276"/>
    <n v="865619.84256996086"/>
    <n v="873269.20361653226"/>
    <n v="1056655.7363760041"/>
    <n v="204759.50983315747"/>
    <n v="207748.76221679061"/>
    <n v="209584.60886796776"/>
    <n v="253597.37673024097"/>
  </r>
  <r>
    <s v="Rīga"/>
    <x v="1"/>
    <s v="Rīga"/>
    <x v="1"/>
    <n v="304"/>
    <n v="614618"/>
    <n v="615772"/>
    <n v="616925"/>
    <n v="625000"/>
    <n v="17476089.690851513"/>
    <n v="18367370.265084941"/>
    <n v="19065330.335158169"/>
    <n v="23069049.705541383"/>
    <n v="479805.44818789844"/>
    <n v="486810.05364355963"/>
    <n v="491111.92575680139"/>
    <n v="495705.50030118669"/>
    <n v="115153.30756509562"/>
    <n v="116834.41287445431"/>
    <n v="117866.86218163234"/>
    <n v="118969.3200722848"/>
  </r>
  <r>
    <s v="Daugavpils"/>
    <x v="2"/>
    <s v="Daugavpils"/>
    <x v="2"/>
    <n v="72"/>
    <n v="80627"/>
    <n v="79117"/>
    <n v="77607"/>
    <n v="67039"/>
    <n v="738858.72397600824"/>
    <n v="776540.51889878465"/>
    <n v="806049.05861693854"/>
    <n v="975319.36092649563"/>
    <n v="20285.341141870402"/>
    <n v="20581.483696668256"/>
    <n v="20763.359379187881"/>
    <n v="20957.56773393957"/>
    <n v="4868.4818740488963"/>
    <n v="4939.5560872003816"/>
    <n v="4983.2062510050919"/>
    <n v="5029.8162561454974"/>
  </r>
  <r>
    <s v="Jēkabpils"/>
    <x v="3"/>
    <s v="Jēkabpils novads"/>
    <x v="2"/>
    <n v="25"/>
    <n v="21629"/>
    <n v="21261"/>
    <n v="20893"/>
    <n v="18315"/>
    <n v="249971.80159214966"/>
    <n v="262720.36347334925"/>
    <n v="272703.73728533654"/>
    <n v="329971.52211525722"/>
    <n v="6862.9673124213568"/>
    <n v="6963.1587097057509"/>
    <n v="7024.6911658437512"/>
    <n v="7090.3960303140302"/>
    <n v="1647.1121549811257"/>
    <n v="1671.1580903293802"/>
    <n v="1685.9258798025003"/>
    <n v="1701.6950472753674"/>
  </r>
  <r>
    <s v="Jūrmala"/>
    <x v="4"/>
    <s v="Jūrmala"/>
    <x v="3"/>
    <n v="101"/>
    <n v="50248"/>
    <n v="49821"/>
    <n v="49394"/>
    <n v="46404"/>
    <n v="449115.7015194947"/>
    <n v="472020.60229698889"/>
    <n v="489957.38518427446"/>
    <n v="592848.43607297214"/>
    <n v="12330.456313038299"/>
    <n v="12510.466735777967"/>
    <n v="12621.019974297744"/>
    <n v="12739.069634746884"/>
    <n v="2959.3095151291923"/>
    <n v="3002.5120165867124"/>
    <n v="3029.0447938314587"/>
    <n v="3057.3767123392522"/>
  </r>
  <r>
    <s v="Jelgava"/>
    <x v="5"/>
    <s v="Jelgava"/>
    <x v="1"/>
    <n v="60"/>
    <n v="55336"/>
    <n v="54885"/>
    <n v="54435"/>
    <n v="51280"/>
    <n v="621956.14901143278"/>
    <n v="653675.91261101584"/>
    <n v="678515.59729023441"/>
    <n v="821003.87272118358"/>
    <n v="17075.784921490042"/>
    <n v="17325.071661923066"/>
    <n v="17478.170888376"/>
    <n v="17641.651505857521"/>
    <n v="4098.1883811576099"/>
    <n v="4158.0171988615357"/>
    <n v="4194.76101321024"/>
    <n v="4233.9963614058051"/>
  </r>
  <r>
    <s v="Liepāja"/>
    <x v="6"/>
    <s v="Liepāja"/>
    <x v="4"/>
    <n v="68"/>
    <n v="67964"/>
    <n v="66775"/>
    <n v="65587"/>
    <n v="57267"/>
    <n v="956530.2654413135"/>
    <n v="1005313.3089788205"/>
    <n v="1043515.2147200156"/>
    <n v="1262653.409811219"/>
    <n v="26261.50591087959"/>
    <n v="26644.893569923403"/>
    <n v="26880.350754406027"/>
    <n v="27131.773879143453"/>
    <n v="6302.7614186111014"/>
    <n v="6394.7744567816171"/>
    <n v="6451.2841810574464"/>
    <n v="6511.6257309944294"/>
  </r>
  <r>
    <s v="Rēzekne"/>
    <x v="7"/>
    <s v="Rēzekne"/>
    <x v="2"/>
    <n v="18"/>
    <n v="26839"/>
    <n v="26264"/>
    <n v="25689"/>
    <n v="21662"/>
    <n v="301295.35124424868"/>
    <n v="316661.41415770532"/>
    <n v="328694.54789569811"/>
    <n v="397720.40295379469"/>
    <n v="8272.0536228624296"/>
    <n v="8392.8160530412806"/>
    <n v="8466.9821904493256"/>
    <n v="8546.1774040411692"/>
    <n v="1985.2928694869831"/>
    <n v="2014.2758527299075"/>
    <n v="2032.075725707838"/>
    <n v="2051.0825769698804"/>
  </r>
  <r>
    <s v="Valmiera"/>
    <x v="8"/>
    <s v="Valmieras novads"/>
    <x v="5"/>
    <n v="19"/>
    <n v="22971"/>
    <n v="22974"/>
    <n v="22977"/>
    <n v="23000"/>
    <n v="416243.04791054904"/>
    <n v="437471.44335398701"/>
    <n v="454095.3582014385"/>
    <n v="549455.38342374063"/>
    <n v="11427.938726039281"/>
    <n v="11594.773434252158"/>
    <n v="11697.234819597101"/>
    <n v="11806.643932446883"/>
    <n v="2742.7052942494274"/>
    <n v="2782.745624220518"/>
    <n v="2807.3363567033043"/>
    <n v="2833.594543787252"/>
  </r>
  <r>
    <s v="Ventspils"/>
    <x v="9"/>
    <s v="Ventspils"/>
    <x v="3"/>
    <n v="58"/>
    <n v="33372"/>
    <n v="32851"/>
    <n v="32329"/>
    <n v="28680"/>
    <n v="501127.82880555547"/>
    <n v="526685.34807463875"/>
    <n v="546699.391301475"/>
    <n v="661506.26347478468"/>
    <n v="13758.447499004709"/>
    <n v="13959.304943989817"/>
    <n v="14082.661362390239"/>
    <n v="14214.382363976156"/>
    <n v="3302.0273997611303"/>
    <n v="3350.2331865575566"/>
    <n v="3379.8387269736577"/>
    <n v="3411.4517673542773"/>
  </r>
  <r>
    <s v="Aglonas novads"/>
    <x v="10"/>
    <s v="Preiļu novads"/>
    <x v="2"/>
    <n v="393"/>
    <n v="3042"/>
    <n v="2970"/>
    <n v="2897"/>
    <n v="2391"/>
    <n v="20003.89150818995"/>
    <n v="21008.52163844333"/>
    <n v="21782.389328454396"/>
    <n v="26157.007071792112"/>
    <n v="549.20616112502444"/>
    <n v="556.81131257116215"/>
    <n v="561.10180010646479"/>
    <n v="562.0592283777429"/>
    <n v="131.80947867000586"/>
    <n v="133.63471501707892"/>
    <n v="134.66443202555155"/>
    <n v="134.8942148106583"/>
  </r>
  <r>
    <s v="Aizkraukles novads"/>
    <x v="11"/>
    <s v="Aizkraukles novads"/>
    <x v="1"/>
    <n v="102"/>
    <n v="8017"/>
    <n v="7873"/>
    <n v="7729"/>
    <n v="6723"/>
    <n v="68418.691922067432"/>
    <n v="71784.120049151752"/>
    <n v="74379.467362873969"/>
    <n v="88735.363034668655"/>
    <n v="1878.4328601427428"/>
    <n v="1902.5712896043524"/>
    <n v="1915.9722287100433"/>
    <n v="1906.7368655823693"/>
    <n v="450.82388643425833"/>
    <n v="456.61710950504454"/>
    <n v="459.83333489041041"/>
    <n v="457.61684773976862"/>
  </r>
  <r>
    <s v="Aizputes novads"/>
    <x v="12"/>
    <s v="Dienvidkurzemes novads"/>
    <x v="4"/>
    <n v="640"/>
    <n v="8083"/>
    <n v="7946"/>
    <n v="7809"/>
    <n v="6850"/>
    <n v="77444.56019057885"/>
    <n v="81467.568075940566"/>
    <n v="84641.621598007841"/>
    <n v="103207.59680201909"/>
    <n v="2126.2377665300733"/>
    <n v="2159.2220667891875"/>
    <n v="2180.3194097046439"/>
    <n v="2217.7148196676185"/>
    <n v="510.29706396721758"/>
    <n v="518.213296029405"/>
    <n v="523.27665832911453"/>
    <n v="532.25155672022845"/>
  </r>
  <r>
    <s v="Aknīstes novads"/>
    <x v="3"/>
    <s v="Jēkabpils novads"/>
    <x v="2"/>
    <n v="285"/>
    <n v="2546"/>
    <n v="2478"/>
    <n v="2410"/>
    <n v="1934"/>
    <n v="21728.076541547172"/>
    <n v="22593.807885405568"/>
    <n v="23192.459094905713"/>
    <n v="25526.43047881142"/>
    <n v="596.54360258493489"/>
    <n v="598.82784905875587"/>
    <n v="597.42438493869895"/>
    <n v="548.50945977038555"/>
    <n v="143.17046462038437"/>
    <n v="143.71868377410141"/>
    <n v="143.38185238528774"/>
    <n v="131.64227034489252"/>
  </r>
  <r>
    <s v="Alojas novads"/>
    <x v="13"/>
    <s v="Limbažu novads"/>
    <x v="5"/>
    <n v="631"/>
    <n v="4520"/>
    <n v="4432"/>
    <n v="4345"/>
    <n v="3731"/>
    <n v="58638.501655615051"/>
    <n v="60616.181628571212"/>
    <n v="61875.937753305872"/>
    <n v="65720.129079877763"/>
    <n v="1609.9180689526627"/>
    <n v="1606.5754762055506"/>
    <n v="1593.8885093428366"/>
    <n v="1412.1877529083438"/>
    <n v="386.38033654863904"/>
    <n v="385.57811428933218"/>
    <n v="382.53324224228083"/>
    <n v="338.92506069800248"/>
  </r>
  <r>
    <s v="Alsungas novads"/>
    <x v="14"/>
    <s v="Kuldīgas novads"/>
    <x v="3"/>
    <n v="191"/>
    <n v="1303"/>
    <n v="1278"/>
    <n v="1254"/>
    <n v="1081"/>
    <n v="12484.258558496133"/>
    <n v="13102.888497489561"/>
    <n v="13592.085220118046"/>
    <n v="16287.213451530313"/>
    <n v="342.75489419629906"/>
    <n v="347.27986425328243"/>
    <n v="350.12428477008882"/>
    <n v="349.97806132272927"/>
    <n v="82.261174607111769"/>
    <n v="83.347167420787784"/>
    <n v="84.029828344821311"/>
    <n v="83.994734717455017"/>
  </r>
  <r>
    <s v="Alūksnes novads"/>
    <x v="15"/>
    <s v="Alūksnes novads"/>
    <x v="5"/>
    <n v="1698"/>
    <n v="13861"/>
    <n v="13430"/>
    <n v="12998"/>
    <n v="9979"/>
    <n v="130893.41369186182"/>
    <n v="136451.99055149566"/>
    <n v="140408.77439595995"/>
    <n v="157135.95206718461"/>
    <n v="3593.6742218795339"/>
    <n v="3616.5330083433641"/>
    <n v="3616.8491379134598"/>
    <n v="3376.5220817074419"/>
    <n v="862.48181325108817"/>
    <n v="867.96792200240748"/>
    <n v="868.04379309923036"/>
    <n v="810.36529960978601"/>
  </r>
  <r>
    <s v="Amatas novads"/>
    <x v="16"/>
    <s v="Cēsu novads"/>
    <x v="5"/>
    <n v="745"/>
    <n v="5042"/>
    <n v="4900"/>
    <n v="4758"/>
    <n v="3764"/>
    <n v="47613.0576317991"/>
    <n v="49785.164088036385"/>
    <n v="51397.518739496656"/>
    <n v="59270.440282681928"/>
    <n v="1307.2148781990197"/>
    <n v="1319.5094371468713"/>
    <n v="1323.9704722412866"/>
    <n v="1273.5974662337721"/>
    <n v="313.73157076776471"/>
    <n v="316.68226491524911"/>
    <n v="317.75291333790881"/>
    <n v="305.66339189610534"/>
  </r>
  <r>
    <s v="Apes novads"/>
    <x v="17"/>
    <s v="Smiltenes novads"/>
    <x v="5"/>
    <n v="545"/>
    <n v="3205"/>
    <n v="3124"/>
    <n v="3043"/>
    <n v="2476"/>
    <n v="30265.737744925846"/>
    <n v="31740.582165515443"/>
    <n v="32871.511039152654"/>
    <n v="38988.73808180671"/>
    <n v="830.94480060052717"/>
    <n v="841.25458809118902"/>
    <n v="846.75118684956612"/>
    <n v="837.78621848959096"/>
    <n v="199.42675214412651"/>
    <n v="201.90110114188539"/>
    <n v="203.22028484389588"/>
    <n v="201.06869243750185"/>
  </r>
  <r>
    <s v="Auces novads"/>
    <x v="18"/>
    <s v="Dobeles novads"/>
    <x v="1"/>
    <n v="517"/>
    <n v="6025"/>
    <n v="5878"/>
    <n v="5732"/>
    <n v="4706"/>
    <n v="51418.562907628322"/>
    <n v="53594.189971918451"/>
    <n v="55161.48362323633"/>
    <n v="62113.434246787256"/>
    <n v="1411.694896140704"/>
    <n v="1420.4641229892522"/>
    <n v="1420.9280391985985"/>
    <n v="1334.6874445084977"/>
    <n v="338.80677507376896"/>
    <n v="340.9113895174205"/>
    <n v="341.02272940766363"/>
    <n v="320.32498668203948"/>
  </r>
  <r>
    <s v="Ādažu novads"/>
    <x v="19"/>
    <s v="Ādažu novads"/>
    <x v="1"/>
    <n v="163"/>
    <n v="11824"/>
    <n v="12051"/>
    <n v="12277"/>
    <n v="13864"/>
    <n v="153394.16893274165"/>
    <n v="164820.75920711004"/>
    <n v="174833.34586820166"/>
    <n v="244209.02427323113"/>
    <n v="4211.4316918797085"/>
    <n v="4368.4208176338198"/>
    <n v="4503.606266789875"/>
    <n v="5247.5398033560114"/>
    <n v="1010.7436060511301"/>
    <n v="1048.4209962321167"/>
    <n v="1080.86550402957"/>
    <n v="1259.4095528054427"/>
  </r>
  <r>
    <s v="Babītes novads"/>
    <x v="20"/>
    <s v="Mārupes novads"/>
    <x v="1"/>
    <n v="243"/>
    <n v="11247"/>
    <n v="11352"/>
    <n v="11457"/>
    <n v="12192"/>
    <n v="145908.67878776602"/>
    <n v="155260.58074177356"/>
    <n v="163155.95370302079"/>
    <n v="214757.38776249523"/>
    <n v="4005.9178144934945"/>
    <n v="4115.0371854434588"/>
    <n v="4202.8033720462317"/>
    <n v="4614.6858974694524"/>
    <n v="961.42027547843873"/>
    <n v="987.60892450643018"/>
    <n v="1008.6728092910956"/>
    <n v="1107.5246153926687"/>
  </r>
  <r>
    <s v="Baldones novads"/>
    <x v="21"/>
    <s v="Ķekavas novads"/>
    <x v="1"/>
    <n v="179"/>
    <n v="5446"/>
    <n v="5471"/>
    <n v="5496"/>
    <n v="5673"/>
    <n v="70651.610623114946"/>
    <n v="74826.518431839606"/>
    <n v="78267.008951017051"/>
    <n v="99927.711677873638"/>
    <n v="1939.7375671496018"/>
    <n v="1983.2072270578899"/>
    <n v="2016.1130603793395"/>
    <n v="2147.2369665636652"/>
    <n v="465.53701611590441"/>
    <n v="475.96973449389355"/>
    <n v="483.8671344910415"/>
    <n v="515.33687197527968"/>
  </r>
  <r>
    <s v="Baltinavas novads"/>
    <x v="22"/>
    <s v="Balvu novads"/>
    <x v="5"/>
    <n v="186"/>
    <n v="937"/>
    <n v="915"/>
    <n v="893"/>
    <n v="738"/>
    <n v="6161.6194422005201"/>
    <n v="6472.322322954763"/>
    <n v="6714.4196307593284"/>
    <n v="8073.5555077300614"/>
    <n v="169.16705225974616"/>
    <n v="171.54287912545905"/>
    <n v="172.95958146188229"/>
    <n v="173.48377688949154"/>
    <n v="40.600092542339077"/>
    <n v="41.170290990110175"/>
    <n v="41.510299550851748"/>
    <n v="41.636106453477964"/>
  </r>
  <r>
    <s v="Balvu novads"/>
    <x v="22"/>
    <s v="Balvu novads"/>
    <x v="5"/>
    <n v="1045"/>
    <n v="11576"/>
    <n v="11292"/>
    <n v="11008"/>
    <n v="9018"/>
    <n v="76122.632511113363"/>
    <n v="79874.823683940092"/>
    <n v="82768.568079953737"/>
    <n v="98654.909984701488"/>
    <n v="2089.9442870424991"/>
    <n v="2117.0078591089436"/>
    <n v="2132.0706301594628"/>
    <n v="2119.8871273569575"/>
    <n v="501.58662889019979"/>
    <n v="508.08188618614651"/>
    <n v="511.69695123827108"/>
    <n v="508.7729105656698"/>
  </r>
  <r>
    <s v="Bauskas novads"/>
    <x v="23"/>
    <s v="Bauskas novads"/>
    <x v="1"/>
    <n v="786"/>
    <n v="22259"/>
    <n v="21899"/>
    <n v="21539"/>
    <n v="19017"/>
    <n v="189962.78701425708"/>
    <n v="199669.81391545461"/>
    <n v="207278.99437559093"/>
    <n v="251001.10052510691"/>
    <n v="5215.4218577918564"/>
    <n v="5292.0625772952762"/>
    <n v="5339.3874801637494"/>
    <n v="5393.4872784143854"/>
    <n v="1251.7012458700453"/>
    <n v="1270.0950185508664"/>
    <n v="1281.4529952392998"/>
    <n v="1294.4369468194525"/>
  </r>
  <r>
    <s v="Beverīnas novads"/>
    <x v="8"/>
    <s v="Valmieras novads"/>
    <x v="5"/>
    <n v="301"/>
    <n v="2948"/>
    <n v="2895"/>
    <n v="2842"/>
    <n v="2469"/>
    <n v="27838.812752587019"/>
    <n v="29413.887762217419"/>
    <n v="30700.24133199863"/>
    <n v="38878.511439410649"/>
    <n v="764.31365746344909"/>
    <n v="779.58771847759044"/>
    <n v="790.82053007770833"/>
    <n v="835.41767909967689"/>
    <n v="183.43527779122778"/>
    <n v="187.10105243462172"/>
    <n v="189.79692721865001"/>
    <n v="200.50024298392245"/>
  </r>
  <r>
    <s v="Brocēnu novads"/>
    <x v="24"/>
    <s v="Saldus novads"/>
    <x v="4"/>
    <n v="496"/>
    <n v="5672"/>
    <n v="5556"/>
    <n v="5440"/>
    <n v="4630"/>
    <n v="54344.370332916398"/>
    <n v="56963.731214438187"/>
    <n v="58964.069854419598"/>
    <n v="69759.295356693197"/>
    <n v="1492.0228395099068"/>
    <n v="1509.7706774579319"/>
    <n v="1518.8804698160154"/>
    <n v="1498.9809657023463"/>
    <n v="358.08548148237759"/>
    <n v="362.34496258990367"/>
    <n v="364.53131275584371"/>
    <n v="359.75543176856308"/>
  </r>
  <r>
    <s v="Burtnieku novads"/>
    <x v="8"/>
    <s v="Valmieras novads"/>
    <x v="5"/>
    <n v="702"/>
    <n v="7410"/>
    <n v="7314"/>
    <n v="7218"/>
    <n v="6545"/>
    <n v="69974.763397784875"/>
    <n v="74311.977579571045"/>
    <n v="77971.267394217488"/>
    <n v="103061.910640317"/>
    <n v="1921.1547495943546"/>
    <n v="1969.569800671881"/>
    <n v="2008.4949282550665"/>
    <n v="2214.5843295696172"/>
    <n v="461.07713990264506"/>
    <n v="472.69675216125142"/>
    <n v="482.03878278121601"/>
    <n v="531.50023909670813"/>
  </r>
  <r>
    <s v="Carnikavas novads"/>
    <x v="19"/>
    <s v="Ādažu novads"/>
    <x v="1"/>
    <n v="81"/>
    <n v="9310"/>
    <n v="9290"/>
    <n v="9269"/>
    <n v="9126"/>
    <n v="120779.74566676462"/>
    <n v="127058.73811584535"/>
    <n v="131997.25363300164"/>
    <n v="160750.97774938744"/>
    <n v="3316.0038101657715"/>
    <n v="3367.5735952052269"/>
    <n v="3400.1732089985621"/>
    <n v="3454.2014025841722"/>
    <n v="795.84091443978514"/>
    <n v="808.21766284925445"/>
    <n v="816.04157015965495"/>
    <n v="829.00833662020136"/>
  </r>
  <r>
    <s v="Cesvaines novads"/>
    <x v="25"/>
    <s v="Madonas novads"/>
    <x v="5"/>
    <n v="190"/>
    <n v="2253"/>
    <n v="2198"/>
    <n v="2144"/>
    <n v="1762"/>
    <n v="21275.727656573457"/>
    <n v="22332.202176633466"/>
    <n v="23160.210209642879"/>
    <n v="27745.620557408489"/>
    <n v="584.1243793301054"/>
    <n v="591.89423323445374"/>
    <n v="596.59367223314803"/>
    <n v="596.19520071835984"/>
    <n v="140.18985103922529"/>
    <n v="142.05461597626891"/>
    <n v="143.18248133595552"/>
    <n v="143.08684817240635"/>
  </r>
  <r>
    <s v="Cēsu novads"/>
    <x v="16"/>
    <s v="Cēsu novads"/>
    <x v="5"/>
    <n v="173"/>
    <n v="16143"/>
    <n v="15785"/>
    <n v="15426"/>
    <n v="12918"/>
    <n v="152442.99669776534"/>
    <n v="160379.35002646007"/>
    <n v="166636.84827143239"/>
    <n v="203415.39521033078"/>
    <n v="4185.317290513045"/>
    <n v="4250.705401094564"/>
    <n v="4292.4692107595811"/>
    <n v="4370.9702627013467"/>
    <n v="1004.4761497231308"/>
    <n v="1020.1692962626954"/>
    <n v="1030.1926105822995"/>
    <n v="1049.0328630483232"/>
  </r>
  <r>
    <s v="Ciblas novads"/>
    <x v="26"/>
    <s v="Ludzas novads"/>
    <x v="2"/>
    <n v="510"/>
    <n v="2362"/>
    <n v="2316"/>
    <n v="2270"/>
    <n v="1950"/>
    <n v="15532.278679271749"/>
    <n v="16382.402732200253"/>
    <n v="17068.009587708482"/>
    <n v="21332.565365953415"/>
    <n v="426.43818296426946"/>
    <n v="434.20033667165376"/>
    <n v="439.66209397365373"/>
    <n v="458.3920934071931"/>
    <n v="102.34516391142468"/>
    <n v="104.2080808011969"/>
    <n v="105.5189025536769"/>
    <n v="110.01410241772635"/>
  </r>
  <r>
    <s v="Dagdas novads"/>
    <x v="27"/>
    <s v="Krāslavas novads"/>
    <x v="2"/>
    <n v="950"/>
    <n v="6475"/>
    <n v="6316"/>
    <n v="6156"/>
    <n v="5041"/>
    <n v="42578.960393007867"/>
    <n v="44676.707969160969"/>
    <n v="46286.637454596217"/>
    <n v="55147.416415267267"/>
    <n v="1169.0039096924829"/>
    <n v="1184.1145623567206"/>
    <n v="1192.3171147585076"/>
    <n v="1185.0023296746976"/>
    <n v="280.56093832619587"/>
    <n v="284.18749496561293"/>
    <n v="286.15610754204187"/>
    <n v="284.40055912192742"/>
  </r>
  <r>
    <s v="Daugavpils novads"/>
    <x v="28"/>
    <s v="Augšdaugavas novads"/>
    <x v="2"/>
    <n v="1876"/>
    <n v="19553"/>
    <n v="18967"/>
    <n v="18381"/>
    <n v="14277"/>
    <n v="128578.59653505526"/>
    <n v="134164.52185735846"/>
    <n v="138205.76397870909"/>
    <n v="156187.19781011125"/>
    <n v="3530.1209955547674"/>
    <n v="3555.9057796421657"/>
    <n v="3560.1008587355641"/>
    <n v="3356.1353423458954"/>
    <n v="847.22903893314424"/>
    <n v="853.41738711411983"/>
    <n v="854.42420609653539"/>
    <n v="805.47248216301489"/>
  </r>
  <r>
    <s v="Dobeles novads"/>
    <x v="18"/>
    <s v="Dobeles novads"/>
    <x v="1"/>
    <n v="888"/>
    <n v="19219"/>
    <n v="18842"/>
    <n v="18464"/>
    <n v="15822"/>
    <n v="164018.81502434998"/>
    <n v="171796.82331590465"/>
    <n v="177686.95631881291"/>
    <n v="208831.01501331659"/>
    <n v="4503.1309890337243"/>
    <n v="4553.3149039407099"/>
    <n v="4577.1136280116752"/>
    <n v="4487.3405752259769"/>
    <n v="1080.7514373680938"/>
    <n v="1092.7955769457703"/>
    <n v="1098.5072707228021"/>
    <n v="1076.9617380542345"/>
  </r>
  <r>
    <s v="Dundagas novads"/>
    <x v="29"/>
    <s v="Talsu novads"/>
    <x v="3"/>
    <n v="676"/>
    <n v="3487"/>
    <n v="3431"/>
    <n v="3374"/>
    <n v="2979"/>
    <n v="33409.523862990034"/>
    <n v="35176.846975654684"/>
    <n v="36570.730089855097"/>
    <n v="44884.00450703867"/>
    <n v="917.25734156753254"/>
    <n v="932.3295886173803"/>
    <n v="942.04093844838894"/>
    <n v="964.46313106420951"/>
    <n v="220.14176197620782"/>
    <n v="223.75910126817129"/>
    <n v="226.08982522761335"/>
    <n v="231.47115145541028"/>
  </r>
  <r>
    <s v="Durbes novads"/>
    <x v="12"/>
    <s v="Dienvidkurzemes novads"/>
    <x v="4"/>
    <n v="320"/>
    <n v="2620"/>
    <n v="2563"/>
    <n v="2506"/>
    <n v="2107"/>
    <n v="25102.653433046715"/>
    <n v="26277.545554824526"/>
    <n v="27162.49247337785"/>
    <n v="31745.752768153903"/>
    <n v="689.19249638856763"/>
    <n v="696.46188738745138"/>
    <n v="699.69015760274522"/>
    <n v="682.14965329046311"/>
    <n v="165.40619913325625"/>
    <n v="167.15085297298833"/>
    <n v="167.92563782465888"/>
    <n v="163.71591678971114"/>
  </r>
  <r>
    <s v="Engures novads"/>
    <x v="30"/>
    <s v="Tukuma novads"/>
    <x v="3"/>
    <n v="396"/>
    <n v="7147"/>
    <n v="7052"/>
    <n v="6956"/>
    <n v="6288"/>
    <n v="92718.887462982471"/>
    <n v="96449.754703222963"/>
    <n v="99058.463293900029"/>
    <n v="110760.6999877436"/>
    <n v="2545.5939023904161"/>
    <n v="2556.310978836088"/>
    <n v="2551.6889461424098"/>
    <n v="2380.0151675925131"/>
    <n v="610.94253657369984"/>
    <n v="613.51463492066114"/>
    <n v="612.40534707417839"/>
    <n v="571.20364022220315"/>
  </r>
  <r>
    <s v="Ērgļu novads"/>
    <x v="25"/>
    <s v="Madonas novads"/>
    <x v="5"/>
    <n v="379"/>
    <n v="2600"/>
    <n v="2533"/>
    <n v="2466"/>
    <n v="1998"/>
    <n v="24552.54856062627"/>
    <n v="25735.881762244117"/>
    <n v="26638.562675829919"/>
    <n v="31461.833072475685"/>
    <n v="674.08938582258054"/>
    <n v="682.10559271286229"/>
    <n v="686.19402785771604"/>
    <n v="676.0488144354614"/>
    <n v="161.78145259741933"/>
    <n v="163.70534225108693"/>
    <n v="164.68656668585186"/>
    <n v="162.25171546451074"/>
  </r>
  <r>
    <s v="Garkalnes novads"/>
    <x v="31"/>
    <s v="Ropažu novads"/>
    <x v="1"/>
    <n v="152"/>
    <n v="9425"/>
    <n v="9469"/>
    <n v="9512"/>
    <n v="9817"/>
    <n v="122271.65444782563"/>
    <n v="129506.90971140361"/>
    <n v="135457.74911609793"/>
    <n v="172922.67680974538"/>
    <n v="3356.9641150174434"/>
    <n v="3432.4601047360916"/>
    <n v="3489.3135790262513"/>
    <n v="3715.7456902442268"/>
    <n v="805.67138760418641"/>
    <n v="823.79042513666207"/>
    <n v="837.43525896630035"/>
    <n v="891.77896565861454"/>
  </r>
  <r>
    <s v="Grobiņas novads"/>
    <x v="12"/>
    <s v="Dienvidkurzemes novads"/>
    <x v="4"/>
    <n v="490"/>
    <n v="8329"/>
    <n v="8186"/>
    <n v="8043"/>
    <n v="7041"/>
    <n v="79801.526886964159"/>
    <n v="83928.204413497297"/>
    <n v="87177.943720422205"/>
    <n v="106085.35607051334"/>
    <n v="2190.9482070306794"/>
    <n v="2224.438942705297"/>
    <n v="2245.65360638423"/>
    <n v="2279.5518314276933"/>
    <n v="525.82756968736305"/>
    <n v="533.86534624927128"/>
    <n v="538.95686553221526"/>
    <n v="547.09243954264639"/>
  </r>
  <r>
    <s v="Gulbenes novads"/>
    <x v="32"/>
    <s v="Gulbenes novads"/>
    <x v="5"/>
    <n v="1872"/>
    <n v="19619"/>
    <n v="19190"/>
    <n v="18761"/>
    <n v="15759"/>
    <n v="185267.86546574108"/>
    <n v="194974.95894886088"/>
    <n v="202662.64167122671"/>
    <n v="248151.66535993211"/>
    <n v="5086.5229463281566"/>
    <n v="5167.629816091523"/>
    <n v="5220.4728940140349"/>
    <n v="5332.2588922364548"/>
    <n v="1220.7655071187576"/>
    <n v="1240.2311558619656"/>
    <n v="1252.9134945633684"/>
    <n v="1279.7421341367492"/>
  </r>
  <r>
    <s v="Iecavas novads"/>
    <x v="23"/>
    <s v="Bauskas novads"/>
    <x v="1"/>
    <n v="312"/>
    <n v="8411"/>
    <n v="8295"/>
    <n v="8179"/>
    <n v="7365"/>
    <n v="71781.167239180388"/>
    <n v="75631.814531654236"/>
    <n v="78710.009517524421"/>
    <n v="97208.976461450933"/>
    <n v="1970.7495056331059"/>
    <n v="2004.5508506627846"/>
    <n v="2027.5244997566886"/>
    <n v="2088.8170481948755"/>
    <n v="472.97988135194544"/>
    <n v="481.09220415906827"/>
    <n v="486.60587994160528"/>
    <n v="501.31609156677013"/>
  </r>
  <r>
    <s v="Ikšķiles novads"/>
    <x v="33"/>
    <s v="Ogres novads"/>
    <x v="1"/>
    <n v="131"/>
    <n v="9967"/>
    <n v="10074"/>
    <n v="10181"/>
    <n v="10930"/>
    <n v="129303.08539856531"/>
    <n v="137781.4561656648"/>
    <n v="144984.79223622716"/>
    <n v="192527.7434583393"/>
    <n v="3550.0118126661919"/>
    <n v="3651.769257061082"/>
    <n v="3734.7247212012471"/>
    <n v="4137.0174589354592"/>
    <n v="852.00283503988601"/>
    <n v="876.42462169465978"/>
    <n v="896.33393308829932"/>
    <n v="992.88419014451017"/>
  </r>
  <r>
    <s v="Ilūkstes novads"/>
    <x v="28"/>
    <s v="Augšdaugavas novads"/>
    <x v="2"/>
    <n v="647"/>
    <n v="6374"/>
    <n v="6227"/>
    <n v="6081"/>
    <n v="5054"/>
    <n v="41914.794369889132"/>
    <n v="44047.159677638592"/>
    <n v="45722.716432975896"/>
    <n v="55289.633517706956"/>
    <n v="1150.7692541127237"/>
    <n v="1167.428970835228"/>
    <n v="1177.7908341206116"/>
    <n v="1188.0582769640789"/>
    <n v="276.18462098705373"/>
    <n v="280.18295300045475"/>
    <n v="282.66980018894679"/>
    <n v="285.13398647137893"/>
  </r>
  <r>
    <s v="Inčukalna novads"/>
    <x v="34"/>
    <s v="Siguldas novads"/>
    <x v="1"/>
    <n v="112"/>
    <n v="7622"/>
    <n v="7548"/>
    <n v="7474"/>
    <n v="6957"/>
    <n v="98881.119384756166"/>
    <n v="103233.51510208833"/>
    <n v="106435.1573689777"/>
    <n v="122544.87751506557"/>
    <n v="2714.7777702560161"/>
    <n v="2736.1082342959148"/>
    <n v="2741.70833574876"/>
    <n v="2633.2324301751137"/>
    <n v="651.54666486144379"/>
    <n v="656.66597623101961"/>
    <n v="658.01000057970236"/>
    <n v="631.97578324202732"/>
  </r>
  <r>
    <s v="Jaunjelgavas novads"/>
    <x v="11"/>
    <s v="Aizkraukles novads"/>
    <x v="1"/>
    <n v="684"/>
    <n v="5039"/>
    <n v="4966"/>
    <n v="4893"/>
    <n v="4382"/>
    <n v="43003.840413533464"/>
    <n v="45278.793365183235"/>
    <n v="47087.428361565835"/>
    <n v="57837.031208971894"/>
    <n v="1180.6689762079682"/>
    <n v="1200.072275393778"/>
    <n v="1212.9450271805204"/>
    <n v="1242.7965112274196"/>
    <n v="283.36055428991239"/>
    <n v="288.01734609450671"/>
    <n v="291.10680652332491"/>
    <n v="298.27116269458071"/>
  </r>
  <r>
    <s v="Jaunpiebalgas novads"/>
    <x v="16"/>
    <s v="Cēsu novads"/>
    <x v="5"/>
    <n v="251"/>
    <n v="1992"/>
    <n v="1942"/>
    <n v="1893"/>
    <n v="1545"/>
    <n v="18811.029512602898"/>
    <n v="19731.18135897279"/>
    <n v="20448.823659913232"/>
    <n v="24328.5946431306"/>
    <n v="516.45617559945401"/>
    <n v="522.95659733453556"/>
    <n v="526.74991676182333"/>
    <n v="522.77047963102495"/>
    <n v="123.94948214386898"/>
    <n v="125.50958336028854"/>
    <n v="126.41998002283761"/>
    <n v="125.46491511144599"/>
  </r>
  <r>
    <s v="Jaunpils novads"/>
    <x v="30"/>
    <s v="Tukuma novads"/>
    <x v="3"/>
    <n v="209"/>
    <n v="2188"/>
    <n v="2158"/>
    <n v="2128"/>
    <n v="1918"/>
    <n v="28385.186199664982"/>
    <n v="29514.828509579576"/>
    <n v="30304.256740859586"/>
    <n v="33784.831834683879"/>
    <n v="779.31432187354551"/>
    <n v="782.26305903690843"/>
    <n v="780.62019513959876"/>
    <n v="725.96518629809793"/>
    <n v="187.03543724965093"/>
    <n v="187.74313416885801"/>
    <n v="187.3488468335037"/>
    <n v="174.23164471154351"/>
  </r>
  <r>
    <s v="Jelgavas novads"/>
    <x v="35"/>
    <s v="Jelgavas novads"/>
    <x v="1"/>
    <n v="1317"/>
    <n v="22021"/>
    <n v="21627"/>
    <n v="21232"/>
    <n v="18471"/>
    <n v="187931.64710188934"/>
    <n v="197189.78334853359"/>
    <n v="204324.60228341832"/>
    <n v="243794.56947989957"/>
    <n v="5159.6569805667132"/>
    <n v="5226.3316753808367"/>
    <n v="5263.2840419163722"/>
    <n v="5238.6340389962734"/>
    <n v="1238.3176753360112"/>
    <n v="1254.3196020914008"/>
    <n v="1263.1881700599292"/>
    <n v="1257.2721693591054"/>
  </r>
  <r>
    <s v="Jēkabpils novads"/>
    <x v="3"/>
    <s v="Jēkabpils novads"/>
    <x v="2"/>
    <n v="905"/>
    <n v="4164"/>
    <n v="4079"/>
    <n v="3994"/>
    <n v="3397"/>
    <n v="35536.414265122708"/>
    <n v="37191.340744378256"/>
    <n v="38435.967479275278"/>
    <n v="44836.238023020887"/>
    <n v="975.651045233177"/>
    <n v="985.72187098896904"/>
    <n v="990.0883790228894"/>
    <n v="963.43672949327811"/>
    <n v="234.15625085596247"/>
    <n v="236.57324903735255"/>
    <n v="237.62121096549345"/>
    <n v="231.22481507838674"/>
  </r>
  <r>
    <s v="Kandavas novads"/>
    <x v="30"/>
    <s v="Tukuma novads"/>
    <x v="3"/>
    <n v="649"/>
    <n v="7462"/>
    <n v="7332"/>
    <n v="7203"/>
    <n v="6295"/>
    <n v="96805.420211106088"/>
    <n v="100279.29686387278"/>
    <n v="102575.92166560695"/>
    <n v="110884.00229370961"/>
    <n v="2657.7895200276039"/>
    <n v="2657.8094294988937"/>
    <n v="2642.2966473639704"/>
    <n v="2382.6646755717034"/>
    <n v="637.86948480662488"/>
    <n v="637.87426307973453"/>
    <n v="634.1511953673529"/>
    <n v="571.83952213720886"/>
  </r>
  <r>
    <s v="Kārsavas novads"/>
    <x v="26"/>
    <s v="Ludzas novads"/>
    <x v="2"/>
    <n v="628"/>
    <n v="5127"/>
    <n v="5004"/>
    <n v="4880"/>
    <n v="4017"/>
    <n v="33714.645549799432"/>
    <n v="35396.175851437853"/>
    <n v="36692.461140095766"/>
    <n v="43945.084653864033"/>
    <n v="925.63444710322165"/>
    <n v="938.14269633201877"/>
    <n v="945.17666017243619"/>
    <n v="944.2877124188177"/>
    <n v="222.1522673047732"/>
    <n v="225.15424711968453"/>
    <n v="226.84239844138469"/>
    <n v="226.62905098051627"/>
  </r>
  <r>
    <s v="Kocēnu novads"/>
    <x v="8"/>
    <s v="Valmieras novads"/>
    <x v="5"/>
    <n v="499"/>
    <n v="5776"/>
    <n v="5687"/>
    <n v="5598"/>
    <n v="4975"/>
    <n v="54544.430956222051"/>
    <n v="57781.271054829172"/>
    <n v="60471.481694767186"/>
    <n v="78339.649417200475"/>
    <n v="1497.5154971197019"/>
    <n v="1531.4388100110732"/>
    <n v="1557.7105303923336"/>
    <n v="1683.3547806888994"/>
    <n v="359.40371930872845"/>
    <n v="367.5453144026576"/>
    <n v="373.85052729416009"/>
    <n v="404.00514736533586"/>
  </r>
  <r>
    <s v="Kokneses novads"/>
    <x v="11"/>
    <s v="Aizkraukles novads"/>
    <x v="1"/>
    <n v="361"/>
    <n v="4851"/>
    <n v="4789"/>
    <n v="4727"/>
    <n v="4292"/>
    <n v="41399.410566789207"/>
    <n v="43664.949944797125"/>
    <n v="45489.939477850334"/>
    <n v="56649.141476245408"/>
    <n v="1136.6194093242416"/>
    <n v="1157.298857603867"/>
    <n v="1171.7946338610911"/>
    <n v="1217.2712519826757"/>
    <n v="272.78865823781797"/>
    <n v="277.75172582492809"/>
    <n v="281.2307121266619"/>
    <n v="292.14510047584218"/>
  </r>
  <r>
    <s v="Krāslavas novads"/>
    <x v="27"/>
    <s v="Krāslavas novads"/>
    <x v="2"/>
    <n v="1079"/>
    <n v="13533"/>
    <n v="13158"/>
    <n v="12782"/>
    <n v="10155"/>
    <n v="88991.671196691183"/>
    <n v="93074.117076982264"/>
    <n v="96107.17997801314"/>
    <n v="111093.43655961895"/>
    <n v="2443.2633065433779"/>
    <n v="2466.8428453910274"/>
    <n v="2475.6655881811639"/>
    <n v="2387.1649787436136"/>
    <n v="586.38319357041064"/>
    <n v="592.04228289384662"/>
    <n v="594.15974116347934"/>
    <n v="572.91959489846727"/>
  </r>
  <r>
    <s v="Krimuldas novads"/>
    <x v="34"/>
    <s v="Siguldas novads"/>
    <x v="1"/>
    <n v="341"/>
    <n v="4833"/>
    <n v="4764"/>
    <n v="4694"/>
    <n v="4209"/>
    <n v="62699.088164068038"/>
    <n v="65156.924476198838"/>
    <n v="66845.949784584067"/>
    <n v="74139.915115841737"/>
    <n v="1721.4013334619951"/>
    <n v="1726.9236391343056"/>
    <n v="1721.9131560081187"/>
    <n v="1593.111297773042"/>
    <n v="413.13632003087884"/>
    <n v="414.46167339223337"/>
    <n v="413.2591574419485"/>
    <n v="382.34671146553012"/>
  </r>
  <r>
    <s v="Krustpils novads"/>
    <x v="3"/>
    <s v="Jēkabpils novads"/>
    <x v="2"/>
    <n v="811"/>
    <n v="5461"/>
    <n v="5389"/>
    <n v="5317"/>
    <n v="4811"/>
    <n v="46605.273367395566"/>
    <n v="49135.605607122925"/>
    <n v="51167.761413947585"/>
    <n v="63499.30560163482"/>
    <n v="1279.5461954895245"/>
    <n v="1302.2934941798367"/>
    <n v="1318.0520559000258"/>
    <n v="1364.4669136273656"/>
    <n v="307.09108691748588"/>
    <n v="312.55043860316084"/>
    <n v="316.33249341600623"/>
    <n v="327.47205927056774"/>
  </r>
  <r>
    <s v="Kuldīgas novads"/>
    <x v="14"/>
    <s v="Kuldīgas novads"/>
    <x v="3"/>
    <n v="1757"/>
    <n v="21907"/>
    <n v="21570"/>
    <n v="21234"/>
    <n v="18878"/>
    <n v="209894.59112891389"/>
    <n v="221149.69083791066"/>
    <n v="230154.97413396061"/>
    <n v="284431.09670489293"/>
    <n v="5762.6488619787606"/>
    <n v="5861.3667229603298"/>
    <n v="5928.6595397193505"/>
    <n v="6111.8277906109934"/>
    <n v="1383.0357268749026"/>
    <n v="1406.7280135104791"/>
    <n v="1422.878289532644"/>
    <n v="1466.8386697466385"/>
  </r>
  <r>
    <s v="Ķeguma novads"/>
    <x v="33"/>
    <s v="Ogres novads"/>
    <x v="1"/>
    <n v="492"/>
    <n v="5313"/>
    <n v="5254"/>
    <n v="5196"/>
    <n v="4786"/>
    <n v="68926.18568501831"/>
    <n v="71858.623257336003"/>
    <n v="73994.792305219176"/>
    <n v="84303.548050467696"/>
    <n v="1892.3660841472338"/>
    <n v="1904.5459277942155"/>
    <n v="1906.0632208389825"/>
    <n v="1811.5064554862861"/>
    <n v="454.16786019533612"/>
    <n v="457.09102267061172"/>
    <n v="457.45517300135577"/>
    <n v="434.76154931670868"/>
  </r>
  <r>
    <s v="Ķekavas novads"/>
    <x v="21"/>
    <s v="Ķekavas novads"/>
    <x v="1"/>
    <n v="275"/>
    <n v="24631"/>
    <n v="24660"/>
    <n v="24688"/>
    <n v="24889"/>
    <n v="319540.91466359608"/>
    <n v="337273.24886294361"/>
    <n v="351574.9485048597"/>
    <n v="438410.15616968041"/>
    <n v="8772.9849461002286"/>
    <n v="8939.1135476599447"/>
    <n v="9056.3681285744424"/>
    <n v="9420.5148705804786"/>
    <n v="2105.5163870640549"/>
    <n v="2145.3872514383866"/>
    <n v="2173.5283508578664"/>
    <n v="2260.9235689393149"/>
  </r>
  <r>
    <s v="Lielvārdes novads"/>
    <x v="33"/>
    <s v="Ogres novads"/>
    <x v="1"/>
    <n v="225"/>
    <n v="9547"/>
    <n v="9451"/>
    <n v="9356"/>
    <n v="8686"/>
    <n v="123854.37506773382"/>
    <n v="129260.72485821898"/>
    <n v="133236.19646028301"/>
    <n v="153000.54708866746"/>
    <n v="3400.4176558166087"/>
    <n v="3425.9352043363397"/>
    <n v="3432.0876624652656"/>
    <n v="3287.6609010350776"/>
    <n v="816.10023739598614"/>
    <n v="822.22444904072165"/>
    <n v="823.70103899166372"/>
    <n v="789.03861624841863"/>
  </r>
  <r>
    <s v="Limbažu novads"/>
    <x v="13"/>
    <s v="Limbažu novads"/>
    <x v="5"/>
    <n v="1170"/>
    <n v="16744"/>
    <n v="16441"/>
    <n v="16138"/>
    <n v="14017"/>
    <n v="217221.91852248195"/>
    <n v="224862.50951158378"/>
    <n v="229816.77409962029"/>
    <n v="246904.06038934513"/>
    <n v="5963.8203864034031"/>
    <n v="5959.7715262399497"/>
    <n v="5919.9477016742685"/>
    <n v="5305.4504777583106"/>
    <n v="1431.3168927368167"/>
    <n v="1430.3451662975881"/>
    <n v="1420.7874484018243"/>
    <n v="1273.3081146619945"/>
  </r>
  <r>
    <s v="Līgatnes novads"/>
    <x v="16"/>
    <s v="Cēsu novads"/>
    <x v="5"/>
    <n v="168"/>
    <n v="3258"/>
    <n v="3171"/>
    <n v="3085"/>
    <n v="2478"/>
    <n v="30766.232004046302"/>
    <n v="32218.113331257835"/>
    <n v="33325.209186916174"/>
    <n v="39020.231408205582"/>
    <n v="844.68585346537202"/>
    <n v="853.91110718218965"/>
    <n v="858.43818975711827"/>
    <n v="838.4629440295663"/>
    <n v="202.72460483168931"/>
    <n v="204.93866572372551"/>
    <n v="206.02516554170839"/>
    <n v="201.23110656709591"/>
  </r>
  <r>
    <s v="Līvānu novads"/>
    <x v="36"/>
    <s v="Līvānu novads"/>
    <x v="2"/>
    <n v="622"/>
    <n v="10636"/>
    <n v="10414"/>
    <n v="10192"/>
    <n v="8637"/>
    <n v="69941.285365255855"/>
    <n v="73664.223684427212"/>
    <n v="76633.107364724608"/>
    <n v="94486.854905507513"/>
    <n v="1920.235611349691"/>
    <n v="1952.4016865710717"/>
    <n v="1974.0246968191539"/>
    <n v="2030.3243644912445"/>
    <n v="460.85654672392582"/>
    <n v="468.57640477705718"/>
    <n v="473.76592723659689"/>
    <n v="487.27784747789872"/>
  </r>
  <r>
    <s v="Lubānas novads"/>
    <x v="25"/>
    <s v="Madonas novads"/>
    <x v="5"/>
    <n v="347"/>
    <n v="2163"/>
    <n v="2123"/>
    <n v="2083"/>
    <n v="1805"/>
    <n v="20425.831744859472"/>
    <n v="21570.184358959439"/>
    <n v="22501.267661700615"/>
    <n v="28422.72707498429"/>
    <n v="560.79051597470834"/>
    <n v="571.69766021689964"/>
    <n v="579.61969181979816"/>
    <n v="610.74479982783168"/>
    <n v="134.58972383393001"/>
    <n v="137.20743845205592"/>
    <n v="139.10872603675156"/>
    <n v="146.57875195867962"/>
  </r>
  <r>
    <s v="Ludzas novads"/>
    <x v="26"/>
    <s v="Ludzas novads"/>
    <x v="2"/>
    <n v="965"/>
    <n v="11739"/>
    <n v="11499"/>
    <n v="11259"/>
    <n v="9579"/>
    <n v="77194.504409809932"/>
    <n v="81339.053979952805"/>
    <n v="84655.823765643087"/>
    <n v="104792.12494382962"/>
    <n v="2119.3724935722094"/>
    <n v="2155.8159202881461"/>
    <n v="2180.6852493609549"/>
    <n v="2251.7630065371809"/>
    <n v="508.64939845733022"/>
    <n v="517.39582086915505"/>
    <n v="523.36445984662919"/>
    <n v="540.42312156892342"/>
  </r>
  <r>
    <s v="Madonas novads"/>
    <x v="25"/>
    <s v="Madonas novads"/>
    <x v="5"/>
    <n v="2159"/>
    <n v="21676"/>
    <n v="21228"/>
    <n v="20780"/>
    <n v="17645"/>
    <n v="204692.70869235962"/>
    <n v="215681.52311445642"/>
    <n v="224472.55977443053"/>
    <n v="277849.87215407082"/>
    <n v="5619.8313565731751"/>
    <n v="5716.4380268885279"/>
    <n v="5782.2838194985152"/>
    <n v="5970.4110764332918"/>
    <n v="1348.759525577562"/>
    <n v="1371.9451264532468"/>
    <n v="1387.7481166796435"/>
    <n v="1432.8986583439898"/>
  </r>
  <r>
    <s v="Mazsalacas novads"/>
    <x v="8"/>
    <s v="Valmieras novads"/>
    <x v="5"/>
    <n v="417"/>
    <n v="2867"/>
    <n v="2790"/>
    <n v="2714"/>
    <n v="2177"/>
    <n v="27073.90643204443"/>
    <n v="28347.062817473779"/>
    <n v="29317.542215005025"/>
    <n v="34280.485785174962"/>
    <n v="743.3131804435917"/>
    <n v="751.31251625301456"/>
    <n v="755.20299740707264"/>
    <n v="736.61575026326307"/>
    <n v="178.39516330646202"/>
    <n v="180.3150039007235"/>
    <n v="181.24871937769746"/>
    <n v="176.78778006318313"/>
  </r>
  <r>
    <s v="Mālpils novads"/>
    <x v="34"/>
    <s v="Siguldas novads"/>
    <x v="1"/>
    <n v="221"/>
    <n v="3324"/>
    <n v="3296"/>
    <n v="3268"/>
    <n v="3070"/>
    <n v="43122.650332580626"/>
    <n v="45079.182005363429"/>
    <n v="46538.679994891507"/>
    <n v="54076.868473659808"/>
    <n v="1183.9308984952768"/>
    <n v="1194.7817620878823"/>
    <n v="1198.8095853929551"/>
    <n v="1161.998499444818"/>
    <n v="284.14341563886643"/>
    <n v="286.74762290109175"/>
    <n v="287.71430049430921"/>
    <n v="278.87963986675629"/>
  </r>
  <r>
    <s v="Mārupes novads"/>
    <x v="20"/>
    <s v="Mārupes novads"/>
    <x v="1"/>
    <n v="104"/>
    <n v="21577"/>
    <n v="22373"/>
    <n v="23169"/>
    <n v="28740"/>
    <n v="279921.00668654998"/>
    <n v="305994.09557220753"/>
    <n v="329943.29155496979"/>
    <n v="506244.03906611819"/>
    <n v="7685.2217198653989"/>
    <n v="8110.0887024248159"/>
    <n v="8499.1491077017672"/>
    <n v="10878.12276027494"/>
    <n v="1844.4532127676957"/>
    <n v="1946.4212885819559"/>
    <n v="2039.7957858484242"/>
    <n v="2610.7494624659857"/>
  </r>
  <r>
    <s v="Mērsraga novads"/>
    <x v="29"/>
    <s v="Talsu novads"/>
    <x v="3"/>
    <n v="110"/>
    <n v="1431"/>
    <n v="1408"/>
    <n v="1385"/>
    <n v="1222"/>
    <n v="13710.647733851087"/>
    <n v="14435.733180332787"/>
    <n v="15011.99204933293"/>
    <n v="18411.632597382093"/>
    <n v="376.42536730230546"/>
    <n v="382.60567204117496"/>
    <n v="386.70026667190831"/>
    <n v="395.62737366917224"/>
    <n v="90.342088152553302"/>
    <n v="91.825361289881997"/>
    <n v="92.808064001257989"/>
    <n v="94.950569680601333"/>
  </r>
  <r>
    <s v="Naukšēnu novads"/>
    <x v="8"/>
    <s v="Valmieras novads"/>
    <x v="5"/>
    <n v="281"/>
    <n v="1689"/>
    <n v="1642"/>
    <n v="1596"/>
    <n v="1270"/>
    <n v="15949.713276499142"/>
    <n v="16683.110088276684"/>
    <n v="17240.529615014009"/>
    <n v="19998.262263285345"/>
    <n v="437.89883563628405"/>
    <n v="442.17030526431898"/>
    <n v="444.10611048698894"/>
    <n v="429.7207178844024"/>
    <n v="105.09572055270817"/>
    <n v="106.12087326343655"/>
    <n v="106.58546651687735"/>
    <n v="103.13297229225658"/>
  </r>
  <r>
    <s v="Neretas novads"/>
    <x v="11"/>
    <s v="Aizkraukles novads"/>
    <x v="1"/>
    <n v="645"/>
    <n v="3278"/>
    <n v="3221"/>
    <n v="3164"/>
    <n v="2766"/>
    <n v="27975.111902274795"/>
    <n v="29368.303147252354"/>
    <n v="30448.523060697793"/>
    <n v="36507.8111191274"/>
    <n v="768.05574598327439"/>
    <n v="778.37954068533202"/>
    <n v="784.33641242574424"/>
    <n v="784.47630078846248"/>
    <n v="184.33337903598584"/>
    <n v="186.8110897644797"/>
    <n v="188.24073898217861"/>
    <n v="188.27431218923101"/>
  </r>
  <r>
    <s v="Nīcas novads"/>
    <x v="12"/>
    <s v="Dienvidkurzemes novads"/>
    <x v="4"/>
    <n v="351"/>
    <n v="3113"/>
    <n v="3058"/>
    <n v="3003"/>
    <n v="2616"/>
    <n v="29826.167991249778"/>
    <n v="31352.608001035271"/>
    <n v="32549.467237651112"/>
    <n v="39414.755216654303"/>
    <n v="818.87642796092018"/>
    <n v="830.97169396442689"/>
    <n v="838.45552405468641"/>
    <n v="846.94043332123942"/>
    <n v="196.53034271062086"/>
    <n v="199.43320655146246"/>
    <n v="201.22932577312477"/>
    <n v="203.26570399709749"/>
  </r>
  <r>
    <s v="Ogres novads"/>
    <x v="33"/>
    <s v="Ogres novads"/>
    <x v="1"/>
    <n v="990"/>
    <n v="32790"/>
    <n v="32305"/>
    <n v="31820"/>
    <n v="28423"/>
    <n v="425388.59939991537"/>
    <n v="441833.42678497138"/>
    <n v="453139.77889762778"/>
    <n v="500660.20606737223"/>
    <n v="11679.029531185355"/>
    <n v="11710.38374522119"/>
    <n v="11672.619647247195"/>
    <n v="10758.137898931616"/>
    <n v="2802.9670874844855"/>
    <n v="2810.4920988530857"/>
    <n v="2801.4287153393266"/>
    <n v="2581.9530957435877"/>
  </r>
  <r>
    <s v="Olaines novads"/>
    <x v="37"/>
    <s v="Olaines novads"/>
    <x v="1"/>
    <n v="298"/>
    <n v="19705"/>
    <n v="19494"/>
    <n v="19283"/>
    <n v="17804"/>
    <n v="255635.32635484391"/>
    <n v="266618.1959989547"/>
    <n v="274603.84526973468"/>
    <n v="313610.60791695089"/>
    <n v="7018.4591921929677"/>
    <n v="7066.4671329311832"/>
    <n v="7073.6368528556777"/>
    <n v="6738.834294500175"/>
    <n v="1684.4302061263122"/>
    <n v="1695.9521119034841"/>
    <n v="1697.6728446853629"/>
    <n v="1617.320230680042"/>
  </r>
  <r>
    <s v="Ozolnieku novads"/>
    <x v="35"/>
    <s v="Jelgavas novads"/>
    <x v="1"/>
    <n v="286"/>
    <n v="9948"/>
    <n v="9970"/>
    <n v="9993"/>
    <n v="10150"/>
    <n v="84898.2346564459"/>
    <n v="90904.061588980432"/>
    <n v="96166.906114270867"/>
    <n v="133967.56430193171"/>
    <n v="2330.8781455282528"/>
    <n v="2409.3275444373671"/>
    <n v="2477.2040990424971"/>
    <n v="2878.6820148238953"/>
    <n v="559.41075492678067"/>
    <n v="578.23861066496806"/>
    <n v="594.52898377019926"/>
    <n v="690.88368355773491"/>
  </r>
  <r>
    <s v="Pārgaujas novads"/>
    <x v="16"/>
    <s v="Cēsu novads"/>
    <x v="5"/>
    <n v="486"/>
    <n v="3603"/>
    <n v="3540"/>
    <n v="3477"/>
    <n v="3038"/>
    <n v="34024.166332283254"/>
    <n v="35967.240994214044"/>
    <n v="37559.72523270909"/>
    <n v="47838.362799890456"/>
    <n v="934.13232966106068"/>
    <n v="953.27824642855614"/>
    <n v="967.51688356094019"/>
    <n v="1027.9460952226884"/>
    <n v="224.19175911865457"/>
    <n v="228.78677914285348"/>
    <n v="232.20405205462563"/>
    <n v="246.70706285344522"/>
  </r>
  <r>
    <s v="Pāvilostas novads"/>
    <x v="12"/>
    <s v="Dienvidkurzemes novads"/>
    <x v="4"/>
    <n v="515"/>
    <n v="2543"/>
    <n v="2498"/>
    <n v="2453"/>
    <n v="2137"/>
    <n v="24364.903694747249"/>
    <n v="25611.123213402912"/>
    <n v="26588.026351634424"/>
    <n v="32197.756841739389"/>
    <n v="668.93760241073562"/>
    <n v="678.79898349350503"/>
    <n v="684.89224126078773"/>
    <n v="691.86227293864238"/>
    <n v="160.54502457857654"/>
    <n v="162.91175603844121"/>
    <n v="164.37413790258907"/>
    <n v="166.04694550527415"/>
  </r>
  <r>
    <s v="Pļaviņu novads"/>
    <x v="11"/>
    <s v="Aizkraukles novads"/>
    <x v="1"/>
    <n v="376"/>
    <n v="4765"/>
    <n v="4677"/>
    <n v="4589"/>
    <n v="3972"/>
    <n v="40665.469253916839"/>
    <n v="42643.760887829638"/>
    <n v="44161.906550424203"/>
    <n v="52425.533537662341"/>
    <n v="1116.469075537005"/>
    <n v="1130.2331921096857"/>
    <n v="1137.5852707401202"/>
    <n v="1126.5147746680309"/>
    <n v="267.95257812888121"/>
    <n v="271.25596610632454"/>
    <n v="273.02046497762882"/>
    <n v="270.36354592032745"/>
  </r>
  <r>
    <s v="Preiļu novads"/>
    <x v="10"/>
    <s v="Preiļu novads"/>
    <x v="2"/>
    <n v="364"/>
    <n v="8948"/>
    <n v="8762"/>
    <n v="8577"/>
    <n v="7277"/>
    <n v="58841.164107588316"/>
    <n v="61978.675621562441"/>
    <n v="64490.008032500285"/>
    <n v="79608.75803489385"/>
    <n v="1615.4821596800521"/>
    <n v="1642.6871113631391"/>
    <n v="1661.2254537497922"/>
    <n v="1710.6252634482792"/>
    <n v="387.71571832321251"/>
    <n v="394.24490672715342"/>
    <n v="398.69410889995015"/>
    <n v="410.55006322758697"/>
  </r>
  <r>
    <s v="Priekules novads"/>
    <x v="12"/>
    <s v="Dienvidkurzemes novads"/>
    <x v="4"/>
    <n v="520"/>
    <n v="4955"/>
    <n v="4868"/>
    <n v="4781"/>
    <n v="4170"/>
    <n v="47474.674717842165"/>
    <n v="49909.907046775574"/>
    <n v="51821.17977462869"/>
    <n v="62828.566228382428"/>
    <n v="1303.415580002043"/>
    <n v="1322.815633165085"/>
    <n v="1334.883736432053"/>
    <n v="1350.0541310969297"/>
    <n v="312.81973920049035"/>
    <n v="317.47575195962042"/>
    <n v="320.37209674369274"/>
    <n v="324.01299146326312"/>
  </r>
  <r>
    <s v="Priekuļu novads"/>
    <x v="16"/>
    <s v="Cēsu novads"/>
    <x v="5"/>
    <n v="301"/>
    <n v="7509"/>
    <n v="7377"/>
    <n v="7245"/>
    <n v="6320"/>
    <n v="70909.648900670261"/>
    <n v="74952.072546417228"/>
    <n v="78262.930489208331"/>
    <n v="99518.911420443619"/>
    <n v="1946.8219992852914"/>
    <n v="1986.5349220066266"/>
    <n v="2016.0080015527788"/>
    <n v="2138.4527063223804"/>
    <n v="467.23727982846992"/>
    <n v="476.76838128159039"/>
    <n v="483.84192037266689"/>
    <n v="513.22864951737131"/>
  </r>
  <r>
    <s v="Raunas novads"/>
    <x v="17"/>
    <s v="Smiltenes novads"/>
    <x v="5"/>
    <n v="309"/>
    <n v="3005"/>
    <n v="2919"/>
    <n v="2832"/>
    <n v="2228"/>
    <n v="28377.080163339208"/>
    <n v="29657.733463873104"/>
    <n v="30592.217963483505"/>
    <n v="35083.56560834626"/>
    <n v="779.09177092186712"/>
    <n v="786.05062184320764"/>
    <n v="788.03791033781499"/>
    <n v="753.8722515326366"/>
    <n v="186.98202502124812"/>
    <n v="188.65214924236986"/>
    <n v="189.1290984810756"/>
    <n v="180.92934036783276"/>
  </r>
  <r>
    <s v="Rēzeknes novads"/>
    <x v="38"/>
    <s v="Rēzeknes novads"/>
    <x v="2"/>
    <n v="2525"/>
    <n v="24244"/>
    <n v="23823"/>
    <n v="23402"/>
    <n v="20457"/>
    <n v="159426.14915337184"/>
    <n v="168513.80841502876"/>
    <n v="175958.39663945106"/>
    <n v="223795.02035451744"/>
    <n v="4377.0395037196222"/>
    <n v="4466.301649623837"/>
    <n v="4532.5869265072442"/>
    <n v="4808.885669144076"/>
    <n v="1050.4894808927095"/>
    <n v="1071.912395909721"/>
    <n v="1087.8208623617386"/>
    <n v="1154.1325605945783"/>
  </r>
  <r>
    <s v="Riebiņu novads"/>
    <x v="10"/>
    <s v="Preiļu novads"/>
    <x v="2"/>
    <n v="630"/>
    <n v="4466"/>
    <n v="4370"/>
    <n v="4275"/>
    <n v="3606"/>
    <n v="29367.974844042183"/>
    <n v="30911.528471379581"/>
    <n v="32143.498232358485"/>
    <n v="39448.8362613477"/>
    <n v="806.29675068519362"/>
    <n v="819.28129156093564"/>
    <n v="827.99799636007481"/>
    <n v="847.6727635006863"/>
    <n v="193.51122016444646"/>
    <n v="196.62750997462459"/>
    <n v="198.71951912641796"/>
    <n v="203.44146324016472"/>
  </r>
  <r>
    <s v="Rojas novads"/>
    <x v="29"/>
    <s v="Talsu novads"/>
    <x v="3"/>
    <n v="200"/>
    <n v="3390"/>
    <n v="3328"/>
    <n v="3266"/>
    <n v="2831"/>
    <n v="32480.150816041358"/>
    <n v="34120.823880786586"/>
    <n v="35400.119879509999"/>
    <n v="42654.117744016941"/>
    <n v="891.74143616688707"/>
    <n v="904.34067937004988"/>
    <n v="911.88669382704154"/>
    <n v="916.54754079985798"/>
    <n v="214.01794468005289"/>
    <n v="217.04176304881199"/>
    <n v="218.85280651848998"/>
    <n v="219.97140979196593"/>
  </r>
  <r>
    <s v="Ropažu novads"/>
    <x v="31"/>
    <s v="Ropažu novads"/>
    <x v="1"/>
    <n v="325"/>
    <n v="6836"/>
    <n v="6846"/>
    <n v="6856"/>
    <n v="6924"/>
    <n v="88684.247194200099"/>
    <n v="93632.305827887758"/>
    <n v="97634.391078634071"/>
    <n v="121963.59521551157"/>
    <n v="2434.8229910089381"/>
    <n v="2481.6371187055956"/>
    <n v="2515.0056662956245"/>
    <n v="2620.7418925589313"/>
    <n v="584.35751784214517"/>
    <n v="595.59290848934302"/>
    <n v="603.6013599109499"/>
    <n v="628.97805421414353"/>
  </r>
  <r>
    <s v="Rucavas novads"/>
    <x v="12"/>
    <s v="Dienvidkurzemes novads"/>
    <x v="4"/>
    <n v="448"/>
    <n v="1505"/>
    <n v="1463"/>
    <n v="1421"/>
    <n v="1127"/>
    <n v="14419.653975853169"/>
    <n v="14999.629007689537"/>
    <n v="15402.195452781296"/>
    <n v="16980.286364361389"/>
    <n v="395.89110956671539"/>
    <n v="397.55120610528337"/>
    <n v="396.75168154569076"/>
    <n v="364.87074478327094"/>
    <n v="95.013866296011699"/>
    <n v="95.412289465268003"/>
    <n v="95.220403570965786"/>
    <n v="87.568978747985028"/>
  </r>
  <r>
    <s v="Rugāju novads"/>
    <x v="22"/>
    <s v="Balvu novads"/>
    <x v="5"/>
    <n v="515"/>
    <n v="2026"/>
    <n v="2003"/>
    <n v="1980"/>
    <n v="1818"/>
    <n v="13322.775869688638"/>
    <n v="14168.373347408078"/>
    <n v="14887.514970776561"/>
    <n v="19888.514787335029"/>
    <n v="365.77635846130812"/>
    <n v="375.51954851179727"/>
    <n v="383.4938088404557"/>
    <n v="427.36247477655229"/>
    <n v="87.786326030713937"/>
    <n v="90.124691642831351"/>
    <n v="92.038514121709369"/>
    <n v="102.56699394637256"/>
  </r>
  <r>
    <s v="Rundāles novads"/>
    <x v="23"/>
    <s v="Bauskas novads"/>
    <x v="1"/>
    <n v="231"/>
    <n v="3290"/>
    <n v="3249"/>
    <n v="3207"/>
    <n v="2917"/>
    <n v="28077.522318024428"/>
    <n v="29623.600411494226"/>
    <n v="30862.330422142168"/>
    <n v="38500.826115146287"/>
    <n v="770.86742046521431"/>
    <n v="785.14595705887723"/>
    <n v="794.99585165909025"/>
    <n v="827.30201352131064"/>
    <n v="185.00818091165144"/>
    <n v="188.43502969413055"/>
    <n v="190.79900439818167"/>
    <n v="198.55248324511459"/>
  </r>
  <r>
    <s v="Rūjienas novads"/>
    <x v="8"/>
    <s v="Valmieras novads"/>
    <x v="5"/>
    <n v="353"/>
    <n v="4817"/>
    <n v="4711"/>
    <n v="4605"/>
    <n v="3865"/>
    <n v="45488.317852514134"/>
    <n v="47864.879187497841"/>
    <n v="49744.761201215231"/>
    <n v="60860.853265825092"/>
    <n v="1248.8802198105273"/>
    <n v="1268.6140731426349"/>
    <n v="1281.3963902209173"/>
    <n v="1307.7721060025317"/>
    <n v="299.73125275452657"/>
    <n v="304.46737755423237"/>
    <n v="307.53513365302013"/>
    <n v="313.86530544060759"/>
  </r>
  <r>
    <s v="Salacgrīvas novads"/>
    <x v="13"/>
    <s v="Limbažu novads"/>
    <x v="5"/>
    <n v="638"/>
    <n v="7282"/>
    <n v="7147"/>
    <n v="7012"/>
    <n v="6066"/>
    <n v="94470.258640749729"/>
    <n v="97749.063650586293"/>
    <n v="99855.943734448971"/>
    <n v="106850.25542710762"/>
    <n v="2593.6777385206392"/>
    <n v="2590.7479531681115"/>
    <n v="2572.2315828566102"/>
    <n v="2295.9879145381974"/>
    <n v="622.48265724495343"/>
    <n v="621.77950876034674"/>
    <n v="617.33557988558653"/>
    <n v="551.03709948916742"/>
  </r>
  <r>
    <s v="Salas novads"/>
    <x v="3"/>
    <s v="Jēkabpils novads"/>
    <x v="2"/>
    <n v="317"/>
    <n v="3241"/>
    <n v="3189"/>
    <n v="3138"/>
    <n v="2777"/>
    <n v="27659.346453713428"/>
    <n v="29076.534845261645"/>
    <n v="30198.313958429102"/>
    <n v="36652.997642016191"/>
    <n v="759.38641633062616"/>
    <n v="770.64649340128028"/>
    <n v="777.89117009860479"/>
    <n v="787.59605469615337"/>
    <n v="182.25273991935026"/>
    <n v="184.95515841630726"/>
    <n v="186.69388082366518"/>
    <n v="189.02305312707679"/>
  </r>
  <r>
    <s v="Salaspils novads"/>
    <x v="39"/>
    <s v="Salaspils novads"/>
    <x v="1"/>
    <n v="123"/>
    <n v="22868"/>
    <n v="23017"/>
    <n v="23165"/>
    <n v="24205"/>
    <n v="296669.30439393915"/>
    <n v="314802.0425417021"/>
    <n v="329886.32866635913"/>
    <n v="426361.75941528846"/>
    <n v="8145.0456638959049"/>
    <n v="8343.535138949268"/>
    <n v="8497.6817765078958"/>
    <n v="9161.6200908996143"/>
    <n v="1954.8109593350173"/>
    <n v="2002.4484333478244"/>
    <n v="2039.443626361895"/>
    <n v="2198.7888218159073"/>
  </r>
  <r>
    <s v="Saldus novads"/>
    <x v="24"/>
    <s v="Saldus novads"/>
    <x v="4"/>
    <n v="1682"/>
    <n v="21438"/>
    <n v="20996"/>
    <n v="20554"/>
    <n v="17459"/>
    <n v="205401.02454108986"/>
    <n v="215264.6689305875"/>
    <n v="222784.46540215815"/>
    <n v="263051.30402429949"/>
    <n v="5639.2781441137831"/>
    <n v="5705.3896947276353"/>
    <n v="5738.7994809923484"/>
    <n v="5652.4208812521101"/>
    <n v="1353.4267545873079"/>
    <n v="1369.2935267346327"/>
    <n v="1377.3118754381637"/>
    <n v="1356.5810115005063"/>
  </r>
  <r>
    <s v="Saulkrastu novads"/>
    <x v="40"/>
    <s v="Saulkrastu novads"/>
    <x v="5"/>
    <n v="48"/>
    <n v="7079"/>
    <n v="6951"/>
    <n v="6823"/>
    <n v="5926"/>
    <n v="91836.715314181172"/>
    <n v="95068.384138131427"/>
    <n v="97164.447247596312"/>
    <n v="104384.20930778763"/>
    <n v="2521.3738960433402"/>
    <n v="2519.6990377041475"/>
    <n v="2502.9001839461853"/>
    <n v="2242.9977549543946"/>
    <n v="605.12973505040168"/>
    <n v="604.72776904899536"/>
    <n v="600.69604414708442"/>
    <n v="538.31946118905466"/>
  </r>
  <r>
    <s v="Sējas novads"/>
    <x v="40"/>
    <s v="Saulkrastu novads"/>
    <x v="5"/>
    <n v="230"/>
    <n v="2151"/>
    <n v="2135"/>
    <n v="2120"/>
    <n v="2011"/>
    <n v="27905.1807657584"/>
    <n v="29200.25897495477"/>
    <n v="30190.330963638309"/>
    <n v="35422.991042517875"/>
    <n v="766.13578900822506"/>
    <n v="773.92568630389223"/>
    <n v="777.68553275185582"/>
    <n v="761.16579230733839"/>
    <n v="183.87258936197401"/>
    <n v="185.74216471293417"/>
    <n v="186.64452786044538"/>
    <n v="182.67979015376122"/>
  </r>
  <r>
    <s v="Siguldas novads"/>
    <x v="34"/>
    <s v="Siguldas novads"/>
    <x v="1"/>
    <n v="361"/>
    <n v="18081"/>
    <n v="18101"/>
    <n v="18121"/>
    <n v="18259"/>
    <n v="234566.97974229552"/>
    <n v="247566.22374972192"/>
    <n v="258056.12612834424"/>
    <n v="321625.25780474086"/>
    <n v="6440.0284523745786"/>
    <n v="6561.5123408837253"/>
    <n v="6647.3771410360287"/>
    <n v="6911.0523131475347"/>
    <n v="1545.6068285698989"/>
    <n v="1574.7629618120941"/>
    <n v="1595.3705138486469"/>
    <n v="1658.6525551554084"/>
  </r>
  <r>
    <s v="Skrīveru novads"/>
    <x v="11"/>
    <s v="Aizkraukles novads"/>
    <x v="1"/>
    <n v="105"/>
    <n v="3417"/>
    <n v="3351"/>
    <n v="3285"/>
    <n v="2822"/>
    <n v="29161.365884708048"/>
    <n v="30553.611874089613"/>
    <n v="31612.957728948244"/>
    <n v="37246.942508379434"/>
    <n v="800.6243087324126"/>
    <n v="809.79504527679217"/>
    <n v="814.33157864050872"/>
    <n v="800.35868431852532"/>
    <n v="192.14983409577903"/>
    <n v="194.35081086643012"/>
    <n v="195.43957887372213"/>
    <n v="192.08608423644608"/>
  </r>
  <r>
    <s v="Skrundas novads"/>
    <x v="14"/>
    <s v="Kuldīgas novads"/>
    <x v="3"/>
    <n v="557"/>
    <n v="4526"/>
    <n v="4445"/>
    <n v="4365"/>
    <n v="3800"/>
    <n v="43364.354747316575"/>
    <n v="45573.035501831844"/>
    <n v="47312.162668114252"/>
    <n v="57253.849320828114"/>
    <n v="1190.5668849826936"/>
    <n v="1207.8708893629423"/>
    <n v="1218.7340534461225"/>
    <n v="1230.2651554360511"/>
    <n v="285.73605239584646"/>
    <n v="289.88901344710615"/>
    <n v="292.49617282706942"/>
    <n v="295.26363730465226"/>
  </r>
  <r>
    <s v="Smiltenes novads"/>
    <x v="17"/>
    <s v="Smiltenes novads"/>
    <x v="5"/>
    <n v="947"/>
    <n v="11945"/>
    <n v="11724"/>
    <n v="11503"/>
    <n v="9956"/>
    <n v="112800.07406026185"/>
    <n v="119118.6252588038"/>
    <n v="124259.28080294872"/>
    <n v="156773.77881359757"/>
    <n v="3096.9221975579708"/>
    <n v="3157.1282941040658"/>
    <n v="3200.8474867993946"/>
    <n v="3368.7397379977247"/>
    <n v="743.26132741391302"/>
    <n v="757.71079058497583"/>
    <n v="768.20339683185477"/>
    <n v="808.49753711945402"/>
  </r>
  <r>
    <s v="Stopiņu novads"/>
    <x v="31"/>
    <s v="Ropažu novads"/>
    <x v="1"/>
    <n v="53"/>
    <n v="12201"/>
    <n v="12096"/>
    <n v="11992"/>
    <n v="11259"/>
    <n v="158285.03511065469"/>
    <n v="165436.22134007161"/>
    <n v="170774.74005469368"/>
    <n v="198322.95183874128"/>
    <n v="4345.7102564804063"/>
    <n v="4384.7330686331989"/>
    <n v="4399.0589192265361"/>
    <n v="4261.5443339573958"/>
    <n v="1042.9704615552976"/>
    <n v="1052.3359364719677"/>
    <n v="1055.7741406143687"/>
    <n v="1022.770640149775"/>
  </r>
  <r>
    <s v="Strenču novads"/>
    <x v="8"/>
    <s v="Valmieras novads"/>
    <x v="5"/>
    <n v="375"/>
    <n v="2892"/>
    <n v="2758"/>
    <n v="2624"/>
    <n v="1684"/>
    <n v="27309.988629742758"/>
    <n v="28021.935215266196"/>
    <n v="28345.331898368899"/>
    <n v="26517.380827852379"/>
    <n v="749.79480915342413"/>
    <n v="742.69531176552482"/>
    <n v="730.15941974803195"/>
    <n v="569.80290465931785"/>
    <n v="179.9507541968218"/>
    <n v="178.24687482372596"/>
    <n v="175.23826073952768"/>
    <n v="136.75269711823628"/>
  </r>
  <r>
    <s v="Talsu novads"/>
    <x v="29"/>
    <s v="Talsu novads"/>
    <x v="3"/>
    <n v="1763"/>
    <n v="27391"/>
    <n v="26899"/>
    <n v="26407"/>
    <n v="22962"/>
    <n v="262437.70236052771"/>
    <n v="275786.07018307643"/>
    <n v="286225.03541280481"/>
    <n v="345963.91792233026"/>
    <n v="7205.2181941142208"/>
    <n v="7309.4531052809416"/>
    <n v="7372.9920158881459"/>
    <n v="7434.0390787164743"/>
    <n v="1729.252366587413"/>
    <n v="1754.2687452674261"/>
    <n v="1769.518083813155"/>
    <n v="1784.1693788919538"/>
  </r>
  <r>
    <s v="Tērvetes novads"/>
    <x v="18"/>
    <s v="Dobeles novads"/>
    <x v="1"/>
    <n v="224"/>
    <n v="3273"/>
    <n v="3233"/>
    <n v="3192"/>
    <n v="2910"/>
    <n v="27932.440895712447"/>
    <n v="29477.71626049887"/>
    <n v="30717.979016987152"/>
    <n v="38408.434691489783"/>
    <n v="766.88421494913268"/>
    <n v="781.27943341685136"/>
    <n v="791.27744262420208"/>
    <n v="825.3167155800528"/>
    <n v="184.05221158779185"/>
    <n v="187.50706402004434"/>
    <n v="189.90658622980848"/>
    <n v="198.07601173921267"/>
  </r>
  <r>
    <s v="Tukuma novads"/>
    <x v="30"/>
    <s v="Tukuma novads"/>
    <x v="3"/>
    <n v="1194"/>
    <n v="27614"/>
    <n v="27160"/>
    <n v="26707"/>
    <n v="23531"/>
    <n v="358239.73113233491"/>
    <n v="371465.58958303119"/>
    <n v="380326.96653107938"/>
    <n v="414489.50881227653"/>
    <n v="9835.4596362961984"/>
    <n v="9845.3497142921369"/>
    <n v="9797.0035486810448"/>
    <n v="8906.5103226175925"/>
    <n v="2360.5103127110879"/>
    <n v="2362.8839314301131"/>
    <n v="2351.2808516834507"/>
    <n v="2137.5624774282223"/>
  </r>
  <r>
    <s v="Vaiņodes novads"/>
    <x v="12"/>
    <s v="Dienvidkurzemes novads"/>
    <x v="4"/>
    <n v="307"/>
    <n v="2216"/>
    <n v="2181"/>
    <n v="2145"/>
    <n v="1897"/>
    <n v="21231.862598332642"/>
    <n v="22361.032717546739"/>
    <n v="23249.619455465079"/>
    <n v="28581.724253055509"/>
    <n v="582.9200656477351"/>
    <n v="592.65835988764388"/>
    <n v="598.89680289620458"/>
    <n v="614.16131575320765"/>
    <n v="139.90081575545642"/>
    <n v="142.23800637303455"/>
    <n v="143.73523269508908"/>
    <n v="147.39871578076983"/>
  </r>
  <r>
    <s v="Valkas novads"/>
    <x v="41"/>
    <s v="Valkas novads"/>
    <x v="5"/>
    <n v="908"/>
    <n v="7596"/>
    <n v="7345"/>
    <n v="7094"/>
    <n v="5339"/>
    <n v="71731.214948660447"/>
    <n v="74626.944944209652"/>
    <n v="76631.777624629933"/>
    <n v="84071.434821795643"/>
    <n v="1969.3780671955085"/>
    <n v="1977.9177175191371"/>
    <n v="1973.990443480388"/>
    <n v="1806.5188289644288"/>
    <n v="472.65073612692203"/>
    <n v="474.70025220459291"/>
    <n v="473.75770643529313"/>
    <n v="433.5645189514629"/>
  </r>
  <r>
    <s v="Varakļānu novads"/>
    <x v="42"/>
    <s v="Varakļānu novads"/>
    <x v="2"/>
    <n v="278"/>
    <n v="2945"/>
    <n v="2880"/>
    <n v="2815"/>
    <n v="2362"/>
    <n v="27810.482888863218"/>
    <n v="29261.48419868261"/>
    <n v="30408.578237007794"/>
    <n v="37193.618477070857"/>
    <n v="763.53586201826909"/>
    <n v="775.54840387407955"/>
    <n v="783.30745677999619"/>
    <n v="799.21286271099098"/>
    <n v="183.2486068843846"/>
    <n v="186.13161692977911"/>
    <n v="187.99378962719911"/>
    <n v="191.81108705063784"/>
  </r>
  <r>
    <s v="Vārkavas novads"/>
    <x v="10"/>
    <s v="Preiļu novads"/>
    <x v="2"/>
    <n v="288"/>
    <n v="1754"/>
    <n v="1724"/>
    <n v="1695"/>
    <n v="1488"/>
    <n v="11534.130738121357"/>
    <n v="12194.845557130067"/>
    <n v="12744.61508861933"/>
    <n v="16278.388340789068"/>
    <n v="316.66916719700617"/>
    <n v="323.21303127026385"/>
    <n v="328.2939424164507"/>
    <n v="349.78842819995043"/>
    <n v="76.000600127281487"/>
    <n v="77.571127504863327"/>
    <n v="78.790546179948166"/>
    <n v="83.949222767988104"/>
  </r>
  <r>
    <s v="Vecpiebalgas novads"/>
    <x v="16"/>
    <s v="Cēsu novads"/>
    <x v="5"/>
    <n v="542"/>
    <n v="3614"/>
    <n v="3506"/>
    <n v="3398"/>
    <n v="2642"/>
    <n v="34128.042499270516"/>
    <n v="35621.792916868486"/>
    <n v="36706.340621439602"/>
    <n v="41602.684172913294"/>
    <n v="936.98424629338695"/>
    <n v="944.12246666059821"/>
    <n v="945.53418761578223"/>
    <n v="893.9544383075521"/>
    <n v="224.87621911041288"/>
    <n v="226.58939199854359"/>
    <n v="226.92820502778775"/>
    <n v="214.54906519381251"/>
  </r>
  <r>
    <s v="Vecumnieku novads"/>
    <x v="23"/>
    <s v="Bauskas novads"/>
    <x v="1"/>
    <n v="844"/>
    <n v="7795"/>
    <n v="7650"/>
    <n v="7505"/>
    <n v="6488"/>
    <n v="66524.099230699212"/>
    <n v="69750.859694653991"/>
    <n v="72223.819712559081"/>
    <n v="85633.650954771714"/>
    <n v="1826.4168822268527"/>
    <n v="1848.6816163436167"/>
    <n v="1860.4439871223799"/>
    <n v="1840.0875775544268"/>
    <n v="438.34005173444467"/>
    <n v="443.68358792246801"/>
    <n v="446.50655690937123"/>
    <n v="441.62101861306246"/>
  </r>
  <r>
    <s v="Ventspils novads"/>
    <x v="43"/>
    <s v="Ventspils novads"/>
    <x v="3"/>
    <n v="2458"/>
    <n v="10777"/>
    <n v="10610"/>
    <n v="10443"/>
    <n v="9272"/>
    <n v="103256.21986562765"/>
    <n v="108780.63142282021"/>
    <n v="113191.50395031321"/>
    <n v="139699.39234282059"/>
    <n v="2834.8960051830509"/>
    <n v="2883.1293894580017"/>
    <n v="2915.7479313030603"/>
    <n v="3001.8469792639644"/>
    <n v="680.37504124393229"/>
    <n v="691.95105346992034"/>
    <n v="699.77950351273444"/>
    <n v="720.44327502335148"/>
  </r>
  <r>
    <s v="Viesītes novads"/>
    <x v="3"/>
    <s v="Jēkabpils novads"/>
    <x v="2"/>
    <n v="651"/>
    <n v="3535"/>
    <n v="3451"/>
    <n v="3367"/>
    <n v="2780"/>
    <n v="30168.401639579439"/>
    <n v="31465.387817810581"/>
    <n v="32402.078743795661"/>
    <n v="36692.593966440407"/>
    <n v="828.27244113815584"/>
    <n v="833.96081803945378"/>
    <n v="834.65888136456408"/>
    <n v="788.44689667097816"/>
    <n v="198.78538587315742"/>
    <n v="200.1505963294689"/>
    <n v="200.31813152749538"/>
    <n v="189.22725520103478"/>
  </r>
  <r>
    <s v="Viļakas novads"/>
    <x v="22"/>
    <s v="Balvu novads"/>
    <x v="5"/>
    <n v="641"/>
    <n v="4476"/>
    <n v="4352"/>
    <n v="4228"/>
    <n v="3359"/>
    <n v="29433.733856232153"/>
    <n v="30784.204097813257"/>
    <n v="31790.107725476417"/>
    <n v="36746.711314993598"/>
    <n v="808.10216212873411"/>
    <n v="815.90667754535286"/>
    <n v="818.89486049365996"/>
    <n v="789.6097650024418"/>
    <n v="193.94451891089619"/>
    <n v="195.81760261088468"/>
    <n v="196.53476651847839"/>
    <n v="189.50634360058604"/>
  </r>
  <r>
    <s v="Viļānu novads"/>
    <x v="38"/>
    <s v="Rēzeknes novads"/>
    <x v="2"/>
    <n v="287"/>
    <n v="5399"/>
    <n v="5293"/>
    <n v="5186"/>
    <n v="4441"/>
    <n v="35503.290681366714"/>
    <n v="37440.439404808261"/>
    <n v="38993.258908306692"/>
    <n v="48583.550148820061"/>
    <n v="974.74163836752371"/>
    <n v="992.32399913776476"/>
    <n v="1004.4438851750522"/>
    <n v="1043.9586086263305"/>
    <n v="233.93799320820571"/>
    <n v="238.15775979306352"/>
    <n v="241.06653244201252"/>
    <n v="250.55006607031933"/>
  </r>
  <r>
    <s v="Zilupes novads"/>
    <x v="26"/>
    <s v="Ludzas novads"/>
    <x v="2"/>
    <n v="309"/>
    <n v="2549"/>
    <n v="2479"/>
    <n v="2410"/>
    <n v="1922"/>
    <n v="16761.972207224255"/>
    <n v="17535.395670606402"/>
    <n v="18120.662161399756"/>
    <n v="21026.251606852547"/>
    <n v="460.19937695847705"/>
    <n v="464.75934136832024"/>
    <n v="466.77781783105974"/>
    <n v="451.81005309160264"/>
    <n v="110.4478504700345"/>
    <n v="111.54224192839685"/>
    <n v="112.02667627945435"/>
    <n v="108.4344127419846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CA23EEE-05AA-4980-9B28-EAE5F8C15A0C}"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B3:AK18" firstHeaderRow="0" firstDataRow="1" firstDataCol="1"/>
  <pivotFields count="12">
    <pivotField axis="axisRow" showAll="0">
      <items count="17">
        <item x="2"/>
        <item x="5"/>
        <item x="3"/>
        <item x="4"/>
        <item x="12"/>
        <item x="10"/>
        <item x="6"/>
        <item x="13"/>
        <item x="7"/>
        <item x="1"/>
        <item x="8"/>
        <item x="9"/>
        <item x="14"/>
        <item x="11"/>
        <item m="1" x="15"/>
        <item h="1" x="0"/>
        <item t="default"/>
      </items>
    </pivotField>
    <pivotField showAll="0"/>
    <pivotField numFmtId="1"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s>
  <rowFields count="1">
    <field x="0"/>
  </rowFields>
  <rowItems count="15">
    <i>
      <x/>
    </i>
    <i>
      <x v="1"/>
    </i>
    <i>
      <x v="2"/>
    </i>
    <i>
      <x v="3"/>
    </i>
    <i>
      <x v="4"/>
    </i>
    <i>
      <x v="5"/>
    </i>
    <i>
      <x v="6"/>
    </i>
    <i>
      <x v="7"/>
    </i>
    <i>
      <x v="8"/>
    </i>
    <i>
      <x v="9"/>
    </i>
    <i>
      <x v="10"/>
    </i>
    <i>
      <x v="11"/>
    </i>
    <i>
      <x v="12"/>
    </i>
    <i>
      <x v="13"/>
    </i>
    <i t="grand">
      <x/>
    </i>
  </rowItems>
  <colFields count="1">
    <field x="-2"/>
  </colFields>
  <colItems count="9">
    <i>
      <x/>
    </i>
    <i i="1">
      <x v="1"/>
    </i>
    <i i="2">
      <x v="2"/>
    </i>
    <i i="3">
      <x v="3"/>
    </i>
    <i i="4">
      <x v="4"/>
    </i>
    <i i="5">
      <x v="5"/>
    </i>
    <i i="6">
      <x v="6"/>
    </i>
    <i i="7">
      <x v="7"/>
    </i>
    <i i="8">
      <x v="8"/>
    </i>
  </colItems>
  <dataFields count="9">
    <dataField name="Sum of 2013" fld="3" baseField="0" baseItem="0"/>
    <dataField name="Sum of 2014" fld="4" baseField="0" baseItem="0"/>
    <dataField name="Sum of 2015" fld="5" baseField="0" baseItem="0"/>
    <dataField name="Sum of 2016" fld="6" baseField="0" baseItem="0"/>
    <dataField name="Sum of 2017" fld="7" baseField="0" baseItem="0"/>
    <dataField name="Sum of 2018" fld="8" baseField="0" baseItem="0"/>
    <dataField name="Sum of 2019" fld="9" baseField="0" baseItem="0"/>
    <dataField name="Sum of 2020" fld="10" baseField="0" baseItem="0"/>
    <dataField name="Sum of 2021" fld="11" baseField="0" baseItem="0"/>
  </dataFields>
  <formats count="6">
    <format dxfId="7">
      <pivotArea type="all" dataOnly="0" outline="0" fieldPosition="0"/>
    </format>
    <format dxfId="6">
      <pivotArea outline="0" collapsedLevelsAreSubtotals="1" fieldPosition="0"/>
    </format>
    <format dxfId="5">
      <pivotArea field="0" type="button" dataOnly="0" labelOnly="1" outline="0" axis="axisRow" fieldPosition="0"/>
    </format>
    <format dxfId="4">
      <pivotArea dataOnly="0" labelOnly="1" fieldPosition="0">
        <references count="1">
          <reference field="0" count="0"/>
        </references>
      </pivotArea>
    </format>
    <format dxfId="3">
      <pivotArea dataOnly="0" labelOnly="1" grandRow="1" outline="0" fieldPosition="0"/>
    </format>
    <format dxfId="2">
      <pivotArea dataOnly="0" labelOnly="1" outline="0" fieldPosition="0">
        <references count="1">
          <reference field="4294967294" count="9">
            <x v="0"/>
            <x v="1"/>
            <x v="2"/>
            <x v="3"/>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E158DC7-1775-4583-9A29-395F262ACDCB}" name="PivotTable2"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B22:AF37" firstHeaderRow="0" firstDataRow="1" firstDataCol="1"/>
  <pivotFields count="11">
    <pivotField dataField="1" numFmtId="1" showAll="0"/>
    <pivotField dataField="1" numFmtId="1" showAll="0"/>
    <pivotField dataField="1" numFmtId="1" showAll="0"/>
    <pivotField numFmtId="1" showAll="0"/>
    <pivotField numFmtId="1" showAll="0"/>
    <pivotField numFmtId="1" showAll="0"/>
    <pivotField numFmtId="1" showAll="0"/>
    <pivotField numFmtId="1" showAll="0"/>
    <pivotField numFmtId="1" showAll="0"/>
    <pivotField dataField="1" showAll="0"/>
    <pivotField axis="axisRow" showAll="0">
      <items count="16">
        <item x="2"/>
        <item x="5"/>
        <item x="3"/>
        <item x="4"/>
        <item x="12"/>
        <item x="10"/>
        <item x="6"/>
        <item h="1" x="0"/>
        <item x="13"/>
        <item x="7"/>
        <item x="1"/>
        <item x="8"/>
        <item x="9"/>
        <item x="14"/>
        <item x="11"/>
        <item t="default"/>
      </items>
    </pivotField>
  </pivotFields>
  <rowFields count="1">
    <field x="10"/>
  </rowFields>
  <rowItems count="15">
    <i>
      <x/>
    </i>
    <i>
      <x v="1"/>
    </i>
    <i>
      <x v="2"/>
    </i>
    <i>
      <x v="3"/>
    </i>
    <i>
      <x v="4"/>
    </i>
    <i>
      <x v="5"/>
    </i>
    <i>
      <x v="6"/>
    </i>
    <i>
      <x v="8"/>
    </i>
    <i>
      <x v="9"/>
    </i>
    <i>
      <x v="10"/>
    </i>
    <i>
      <x v="11"/>
    </i>
    <i>
      <x v="12"/>
    </i>
    <i>
      <x v="13"/>
    </i>
    <i>
      <x v="14"/>
    </i>
    <i t="grand">
      <x/>
    </i>
  </rowItems>
  <colFields count="1">
    <field x="-2"/>
  </colFields>
  <colItems count="4">
    <i>
      <x/>
    </i>
    <i i="1">
      <x v="1"/>
    </i>
    <i i="2">
      <x v="2"/>
    </i>
    <i i="3">
      <x v="3"/>
    </i>
  </colItems>
  <dataFields count="4">
    <dataField name="Sum of 2021" fld="0" baseField="0" baseItem="0"/>
    <dataField name="Sum of 2022" fld="1" baseField="0" baseItem="0"/>
    <dataField name="Sum of 2023" fld="2" baseField="0" baseItem="0"/>
    <dataField name="Sum of 2030" fld="9" baseField="0" baseItem="0"/>
  </dataFields>
  <formats count="6">
    <format dxfId="13">
      <pivotArea type="all" dataOnly="0" outline="0" fieldPosition="0"/>
    </format>
    <format dxfId="12">
      <pivotArea outline="0" collapsedLevelsAreSubtotals="1" fieldPosition="0"/>
    </format>
    <format dxfId="11">
      <pivotArea field="10" type="button" dataOnly="0" labelOnly="1" outline="0" axis="axisRow" fieldPosition="0"/>
    </format>
    <format dxfId="10">
      <pivotArea dataOnly="0" labelOnly="1" fieldPosition="0">
        <references count="1">
          <reference field="10" count="0"/>
        </references>
      </pivotArea>
    </format>
    <format dxfId="9">
      <pivotArea dataOnly="0" labelOnly="1" grandRow="1" outline="0" fieldPosition="0"/>
    </format>
    <format dxfId="8">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2B2911-EE1A-459B-AFA0-CAFAC9BEE706}" name="PivotTable4" cacheId="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188:Q194" firstHeaderRow="0" firstDataRow="1" firstDataCol="1"/>
  <pivotFields count="21">
    <pivotField showAll="0"/>
    <pivotField showAll="0"/>
    <pivotField showAll="0"/>
    <pivotField axis="axisRow" showAll="0">
      <items count="7">
        <item x="4"/>
        <item x="2"/>
        <item h="1" x="0"/>
        <item x="1"/>
        <item x="5"/>
        <item x="3"/>
        <item t="default"/>
      </items>
    </pivotField>
    <pivotField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s>
  <rowFields count="1">
    <field x="3"/>
  </rowFields>
  <rowItems count="6">
    <i>
      <x/>
    </i>
    <i>
      <x v="1"/>
    </i>
    <i>
      <x v="3"/>
    </i>
    <i>
      <x v="4"/>
    </i>
    <i>
      <x v="5"/>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um of IS_2021" fld="5" baseField="0" baseItem="0"/>
    <dataField name="Sum of IS_2022" fld="6" baseField="0" baseItem="0"/>
    <dataField name="Sum of IS_2023" fld="7" baseField="0" baseItem="0"/>
    <dataField name="Sum of IS_2030" fld="8" baseField="0" baseItem="0"/>
    <dataField name="Sum of IS_20212" fld="9" baseField="0" baseItem="0"/>
    <dataField name="Sum of IS_20222" fld="10" baseField="0" baseItem="0"/>
    <dataField name="Sum of IS_20232" fld="11" baseField="0" baseItem="0"/>
    <dataField name="Sum of IS_20302" fld="12" baseField="0" baseItem="0"/>
    <dataField name="Sum of SA_2021" fld="13" baseField="0" baseItem="0"/>
    <dataField name="Sum of SA_2022" fld="14" baseField="0" baseItem="0"/>
    <dataField name="Sum of SA_2023" fld="15" baseField="0" baseItem="0"/>
    <dataField name="Sum of SA_2030" fld="16" baseField="0" baseItem="0"/>
    <dataField name="Sum of BA_2021" fld="17" baseField="0" baseItem="0"/>
    <dataField name="Sum of BA_2022" fld="18" baseField="0" baseItem="0"/>
    <dataField name="Sum of BA_2023" fld="19" baseField="0" baseItem="0"/>
    <dataField name="Sum of BA_2030" fld="20"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F987871-CBD3-48FD-A830-536D5F0E1B1C}" name="PivotTable3" cacheId="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140:Q184" firstHeaderRow="0" firstDataRow="1" firstDataCol="1"/>
  <pivotFields count="21">
    <pivotField showAll="0"/>
    <pivotField axis="axisRow" showAll="0">
      <items count="45">
        <item x="11"/>
        <item x="15"/>
        <item x="28"/>
        <item x="19"/>
        <item x="22"/>
        <item x="23"/>
        <item x="16"/>
        <item x="2"/>
        <item x="12"/>
        <item x="18"/>
        <item x="32"/>
        <item x="5"/>
        <item x="35"/>
        <item x="3"/>
        <item x="4"/>
        <item x="27"/>
        <item x="14"/>
        <item x="21"/>
        <item x="6"/>
        <item x="13"/>
        <item x="36"/>
        <item x="26"/>
        <item x="25"/>
        <item x="20"/>
        <item h="1" x="0"/>
        <item x="33"/>
        <item x="37"/>
        <item x="10"/>
        <item x="7"/>
        <item x="38"/>
        <item x="1"/>
        <item x="31"/>
        <item x="39"/>
        <item x="24"/>
        <item x="40"/>
        <item x="34"/>
        <item x="17"/>
        <item x="29"/>
        <item x="30"/>
        <item x="41"/>
        <item x="8"/>
        <item x="42"/>
        <item x="9"/>
        <item x="43"/>
        <item t="default"/>
      </items>
    </pivotField>
    <pivotField showAll="0"/>
    <pivotField showAll="0"/>
    <pivotField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s>
  <rowFields count="1">
    <field x="1"/>
  </rowFields>
  <rowItems count="44">
    <i>
      <x/>
    </i>
    <i>
      <x v="1"/>
    </i>
    <i>
      <x v="2"/>
    </i>
    <i>
      <x v="3"/>
    </i>
    <i>
      <x v="4"/>
    </i>
    <i>
      <x v="5"/>
    </i>
    <i>
      <x v="6"/>
    </i>
    <i>
      <x v="7"/>
    </i>
    <i>
      <x v="8"/>
    </i>
    <i>
      <x v="9"/>
    </i>
    <i>
      <x v="10"/>
    </i>
    <i>
      <x v="11"/>
    </i>
    <i>
      <x v="12"/>
    </i>
    <i>
      <x v="13"/>
    </i>
    <i>
      <x v="14"/>
    </i>
    <i>
      <x v="15"/>
    </i>
    <i>
      <x v="16"/>
    </i>
    <i>
      <x v="17"/>
    </i>
    <i>
      <x v="18"/>
    </i>
    <i>
      <x v="19"/>
    </i>
    <i>
      <x v="20"/>
    </i>
    <i>
      <x v="21"/>
    </i>
    <i>
      <x v="22"/>
    </i>
    <i>
      <x v="23"/>
    </i>
    <i>
      <x v="25"/>
    </i>
    <i>
      <x v="26"/>
    </i>
    <i>
      <x v="27"/>
    </i>
    <i>
      <x v="28"/>
    </i>
    <i>
      <x v="29"/>
    </i>
    <i>
      <x v="30"/>
    </i>
    <i>
      <x v="31"/>
    </i>
    <i>
      <x v="32"/>
    </i>
    <i>
      <x v="33"/>
    </i>
    <i>
      <x v="34"/>
    </i>
    <i>
      <x v="35"/>
    </i>
    <i>
      <x v="36"/>
    </i>
    <i>
      <x v="37"/>
    </i>
    <i>
      <x v="38"/>
    </i>
    <i>
      <x v="39"/>
    </i>
    <i>
      <x v="40"/>
    </i>
    <i>
      <x v="41"/>
    </i>
    <i>
      <x v="42"/>
    </i>
    <i>
      <x v="43"/>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um of IS_2021" fld="5" baseField="0" baseItem="0"/>
    <dataField name="Sum of IS_2022" fld="6" baseField="0" baseItem="0"/>
    <dataField name="Sum of IS_2023" fld="7" baseField="0" baseItem="0"/>
    <dataField name="Sum of IS_2030" fld="8" baseField="0" baseItem="0"/>
    <dataField name="Sum of IS_20212" fld="9" baseField="0" baseItem="0"/>
    <dataField name="Sum of IS_20222" fld="10" baseField="0" baseItem="0"/>
    <dataField name="Sum of IS_20232" fld="11" baseField="0" baseItem="0"/>
    <dataField name="Sum of IS_20302" fld="12" baseField="0" baseItem="0"/>
    <dataField name="Sum of SA_2021" fld="13" baseField="0" baseItem="0"/>
    <dataField name="Sum of SA_2022" fld="14" baseField="0" baseItem="0"/>
    <dataField name="Sum of SA_2023" fld="15" baseField="0" baseItem="0"/>
    <dataField name="Sum of SA_2030" fld="16" baseField="0" baseItem="0"/>
    <dataField name="Sum of BA_2021" fld="17" baseField="0" baseItem="0"/>
    <dataField name="Sum of BA_2022" fld="18" baseField="0" baseItem="0"/>
    <dataField name="Sum of BA_2023" fld="19" baseField="0" baseItem="0"/>
    <dataField name="Sum of BA_2030" fld="20"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B5" dT="2021-12-02T08:25:47.08" personId="{F403F69C-A6C0-4B0D-881D-AA56C08944B7}" id="{A526FDCF-488D-4607-9FC2-9B638DA79EF9}">
    <text>Atkritumu apsaimniekošanas valsts plāns 2021. – 2028.gadam, VARAM, 2021 (Ministru kabineta 2021. gada 22. janvāra rīkojums Nr. 45)</text>
  </threadedComment>
  <threadedComment ref="AB6" dT="2021-12-02T08:27:33.01" personId="{F403F69C-A6C0-4B0D-881D-AA56C08944B7}" id="{FA601C5C-F5CD-4923-AF90-9668BC0E159C}">
    <text>Atkritumu apsaimniekošanas valsts plāns 2021. – 2028.gadam, VARAM, 2021 (Ministru kabineta 2021. gada 22. janvāra rīkojums Nr. 45)</text>
  </threadedComment>
</ThreadedComments>
</file>

<file path=xl/threadedComments/threadedComment2.xml><?xml version="1.0" encoding="utf-8"?>
<ThreadedComments xmlns="http://schemas.microsoft.com/office/spreadsheetml/2018/threadedcomments" xmlns:x="http://schemas.openxmlformats.org/spreadsheetml/2006/main">
  <threadedComment ref="R2" dT="2021-12-02T06:49:00.23" personId="{F403F69C-A6C0-4B0D-881D-AA56C08944B7}" id="{68BA7D86-EDDE-402A-A208-151040A4FB1C}">
    <text>https://stat.gov.lv/lv/metadati/2403-iekszemes-kopprodukts-un-kopeja-pievienota-vertiba-regionos</text>
  </threadedComment>
  <threadedComment ref="A3" dT="2021-12-01T19:39:13.90" personId="{F403F69C-A6C0-4B0D-881D-AA56C08944B7}" id="{064ED312-945A-49E9-BF0A-4BAFD6CE128C}">
    <text>Ar melnu - vērtības no izmantotā informācijas avota;
Ar zaļu - aprēķinātās vērtības</text>
  </threadedComment>
  <threadedComment ref="A12" dT="2021-12-01T19:39:13.90" personId="{F403F69C-A6C0-4B0D-881D-AA56C08944B7}" id="{720E2BB3-AB1A-48EC-8042-5988A0416ED7}">
    <text>Ar melnu - vērtības no izmantotā informācijas avota;
Ar zaļu - aprēķinātās vērtības</text>
  </threadedComment>
  <threadedComment ref="A67" dT="2021-12-01T19:39:13.90" personId="{F403F69C-A6C0-4B0D-881D-AA56C08944B7}" id="{D5861D87-49C6-42F7-86B0-8242E2D663C7}">
    <text>Ar melnu - vērtības no izmantotā informācijas avota;
Ar zaļu - aprēķinātās vērtības</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1-11-30T17:35:51.63" personId="{F403F69C-A6C0-4B0D-881D-AA56C08944B7}" id="{6D9AFF0D-1D92-4587-8436-346BC4ACED50}">
    <text>https://www.varam.gov.lv/lv/informacija-par-43-jaunizveidojamam-pasvaldibam</text>
  </threadedComment>
  <threadedComment ref="C3" dT="2021-11-25T15:40:17.60" personId="{F403F69C-A6C0-4B0D-881D-AA56C08944B7}" id="{4C7039AD-2B3B-4F68-A49D-53201D051C9E}">
    <text>Ar zilu - dati no Atkritumu apsaimniekošanas valsts plāna 2021.- 2028.gadam 4.pielikuma, VARAM;
Ar zaļu - vidējā maksa pašvaldībās, kurās noteikti vairāki tarifi/darbojas atšķirīgi atkritumu apsaimniekošanas uzņēmumi</text>
  </threadedComment>
  <threadedComment ref="L3" dT="2021-11-29T13:40:07.97" personId="{F403F69C-A6C0-4B0D-881D-AA56C08944B7}" id="{E1F08BA8-2DCB-47BD-AC91-64DDC59594B2}">
    <text>https://www.vestnesis.lv/op/2017/103.9</text>
  </threadedComment>
  <threadedComment ref="P4" dT="2021-11-29T13:32:33.73" personId="{F403F69C-A6C0-4B0D-881D-AA56C08944B7}" id="{F5E21229-3E9C-4C8E-A232-EAC11AC965B7}">
    <text>Sabērtu, irdenu jauktu atkritumu blīvums atkarībā no sastāva ir robežās 100-200 kg/m3. Avots: Latvijas Vides aģentūra, ROKASGRĀMATA FAKTORU PIELIETOŠANAI SADZĪVES ATKRITUMU UZSKAITĒ, PĀREJOT NO TILPUMA UZ SVARA VIENĪBĀM, 2002.</text>
  </threadedComment>
  <threadedComment ref="P5" dT="2021-11-29T13:32:33.73" personId="{F403F69C-A6C0-4B0D-881D-AA56C08944B7}" id="{4D8458C2-723A-4055-8E51-52039BDE8014}">
    <text>400-500 kg/m3. Avots: Latvijas Vides aģentūra, ROKASGRĀMATA FAKTORU PIELIETOŠANAI SADZĪVES ATKRITUMU UZSKAITĒ, PĀREJOT NO TILPUMA UZ SVARA VIENĪBĀM, 2002.</text>
  </threadedComment>
  <threadedComment ref="P6" dT="2021-11-29T13:32:33.73" personId="{F403F69C-A6C0-4B0D-881D-AA56C08944B7}" id="{970CF2AA-B237-46E4-A242-67B74047472E}">
    <text>200-500 kg/m3. Avots: Latvijas Vides aģentūra, ROKASGRĀMATA FAKTORU PIELIETOŠANAI SADZĪVES ATKRITUMU UZSKAITĒ, PĀREJOT NO TILPUMA UZ SVARA VIENĪBĀM, 2002.</text>
  </threadedComment>
</ThreadedComments>
</file>

<file path=xl/threadedComments/threadedComment4.xml><?xml version="1.0" encoding="utf-8"?>
<ThreadedComments xmlns="http://schemas.microsoft.com/office/spreadsheetml/2018/threadedcomments" xmlns:x="http://schemas.openxmlformats.org/spreadsheetml/2006/main">
  <threadedComment ref="H5" dT="2021-12-06T08:47:45.58" personId="{F403F69C-A6C0-4B0D-881D-AA56C08944B7}" id="{FB6D376C-373A-4E4D-91EB-1B05E42A90A9}">
    <text>Atļauts kompostēt bioloģiski noārdāmos organiskos atkritumus līdz 20 731 t/gadā</text>
  </threadedComment>
  <threadedComment ref="H8" dT="2021-12-06T08:51:45.02" personId="{F403F69C-A6C0-4B0D-881D-AA56C08944B7}" id="{C7B767B8-2CBB-42F8-B150-97A6C43431F3}">
    <text>Šobrīd kompostēšanas laukums netiek izmantots, jo BNA tiek ievietoti reģenerācijai bioreaktorā, tādējādi ražojot biogāzi.</text>
  </threadedComment>
  <threadedComment ref="H9" dT="2021-12-06T08:51:22.84" personId="{F403F69C-A6C0-4B0D-881D-AA56C08944B7}" id="{2491E2E3-5661-48A1-98BF-B85B005DE7CD}">
    <text>Tā kā BNA tiek nogādāti reģenerācijai uz bioenerģijas šūnu, laukums pašreiz tiek izmantots kā būvniecības, ražošanas un tādu sadzīves atkritumu, ko nevar mehanizēti šķirot pagaidu uzglabāšanai un šķirošanai. Pēc BNA anaerobās fermentācijas iekārtu izveidošanas kompostēšanas laukums tiks integrēts BNA apsaimniekošanas tehnoloģiskajā procesā kā sagatavotā komposta pēcapstrādes un nobriedināšanas zona.</text>
  </threadedComment>
</ThreadedComments>
</file>

<file path=xl/threadedComments/threadedComment5.xml><?xml version="1.0" encoding="utf-8"?>
<ThreadedComments xmlns="http://schemas.microsoft.com/office/spreadsheetml/2018/threadedcomments" xmlns:x="http://schemas.openxmlformats.org/spreadsheetml/2006/main">
  <threadedComment ref="X5" dT="2021-12-02T08:25:47.08" personId="{F403F69C-A6C0-4B0D-881D-AA56C08944B7}" id="{BDDF505D-2EEB-497F-9D22-2F7916DE7089}">
    <text>Atkritumu apsaimniekošanas valsts plāns 2021. – 2028.gadam, VARAM, 2021 (Ministru kabineta 2021. gada 22. janvāra rīkojums Nr. 45)</text>
  </threadedComment>
  <threadedComment ref="X6" dT="2021-12-02T08:27:33.01" personId="{F403F69C-A6C0-4B0D-881D-AA56C08944B7}" id="{CC33C8B7-5C2B-4084-A190-A30FE19E0035}">
    <text>Atkritumu apsaimniekošanas valsts plāns 2021. – 2028.gadam, VARAM, 2021 (Ministru kabineta 2021. gada 22. janvāra rīkojums Nr. 45)</text>
  </threadedComment>
</ThreadedComments>
</file>

<file path=xl/threadedComments/threadedComment6.xml><?xml version="1.0" encoding="utf-8"?>
<ThreadedComments xmlns="http://schemas.microsoft.com/office/spreadsheetml/2018/threadedcomments" xmlns:x="http://schemas.openxmlformats.org/spreadsheetml/2006/main">
  <threadedComment ref="C2" dT="2021-12-06T07:54:29.22" personId="{F403F69C-A6C0-4B0D-881D-AA56C08944B7}" id="{48EEF76A-59A7-4F35-991D-665CBC7463E8}">
    <text>https://www.varam.gov.lv/lv/noteikumi-par-atkritumu-apsaimniekosanas-regioniem</text>
  </threadedComment>
</ThreadedComments>
</file>

<file path=xl/threadedComments/threadedComment7.xml><?xml version="1.0" encoding="utf-8"?>
<ThreadedComments xmlns="http://schemas.microsoft.com/office/spreadsheetml/2018/threadedcomments" xmlns:x="http://schemas.openxmlformats.org/spreadsheetml/2006/main">
  <threadedComment ref="D2" dT="2021-12-05T14:00:52.66" personId="{F403F69C-A6C0-4B0D-881D-AA56C08944B7}" id="{527FF1DC-56B0-4B84-94E0-01F22DA0AFA5}">
    <text>https://www.varam.gov.lv/lv/noteikumi-par-atkritumu-apsaimniekosanas-regioniem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ata.stat.gov.lv/pxweb/lv/OSP_PUB/START__POP__IR__IRS/IRS030/table/tableViewLayout1/" TargetMode="External"/><Relationship Id="rId13" Type="http://schemas.microsoft.com/office/2017/10/relationships/threadedComment" Target="../threadedComments/threadedComment2.xml"/><Relationship Id="rId3" Type="http://schemas.openxmlformats.org/officeDocument/2006/relationships/hyperlink" Target="https://data.stat.gov.lv/pxweb/lv/OSP_PUB/START__VEK__IK__IKP/IKP030/table/tableViewLayout1/" TargetMode="External"/><Relationship Id="rId7" Type="http://schemas.openxmlformats.org/officeDocument/2006/relationships/hyperlink" Target="https://data.stat.gov.lv/pxweb/lv/OSP_PUB/START__VEK__IK__IKR/IKR010/table/tableViewLayout1/" TargetMode="External"/><Relationship Id="rId12" Type="http://schemas.openxmlformats.org/officeDocument/2006/relationships/comments" Target="../comments3.xml"/><Relationship Id="rId2" Type="http://schemas.openxmlformats.org/officeDocument/2006/relationships/hyperlink" Target="https://data.stat.gov.lv/pxweb/lv/OSP_PUB/START__VEK__IK__IKP/IKP010/table/tableViewLayout1/" TargetMode="External"/><Relationship Id="rId1" Type="http://schemas.openxmlformats.org/officeDocument/2006/relationships/hyperlink" Target="https://data.stat.gov.lv/pxweb/lv/OSP_PUB/START__VEK__IK__IKP/IKP040/table/tableViewLayout1/" TargetMode="External"/><Relationship Id="rId6" Type="http://schemas.openxmlformats.org/officeDocument/2006/relationships/hyperlink" Target="https://data.stat.gov.lv/pxweb/lv/OSP_PUB/START__POP__IR__IRS/IRS030/table/tableViewLayout1/" TargetMode="External"/><Relationship Id="rId11" Type="http://schemas.openxmlformats.org/officeDocument/2006/relationships/vmlDrawing" Target="../drawings/vmlDrawing3.vml"/><Relationship Id="rId5" Type="http://schemas.openxmlformats.org/officeDocument/2006/relationships/hyperlink" Target="https://www.makroekonomika.lv/latvijas-banka-parskata-latvijas-makroekonomiskas-prognozes-0" TargetMode="External"/><Relationship Id="rId10" Type="http://schemas.openxmlformats.org/officeDocument/2006/relationships/drawing" Target="../drawings/drawing1.xml"/><Relationship Id="rId4" Type="http://schemas.openxmlformats.org/officeDocument/2006/relationships/hyperlink" Target="https://data.stat.gov.lv/pxweb/lv/OSP_PUB/START__VEK__IK__IKR/IKR010/table/tableViewLayout1/"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ec.europa.eu/eurostat/databrowser/view/env_wasmun/default/table?lang=en"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spaao.lv/lv/aktualitates/noslegt-ligumu-par-sa-izvesanu/aicinam-fiziskas-un-juridiskas-personas-parslegt-ligumus-par-sadzives-atkritumu-apsaimniekosanu-jekabpils-novada-/" TargetMode="External"/><Relationship Id="rId117" Type="http://schemas.openxmlformats.org/officeDocument/2006/relationships/hyperlink" Target="http://www.ous.lv/lv/atkritumu_apsaimniekosana/tari/" TargetMode="External"/><Relationship Id="rId21" Type="http://schemas.openxmlformats.org/officeDocument/2006/relationships/hyperlink" Target="https://www.zaao.lv/lv/privatpersonam/sadzives_atkritumu_maksa" TargetMode="External"/><Relationship Id="rId42" Type="http://schemas.openxmlformats.org/officeDocument/2006/relationships/hyperlink" Target="https://cleanr.lv/aktualitates/valdiba-un-saeima-lemusi-ka-jau-janvari-tiks-palielinats-dabas-resursu-nodoklis-par-neskirotu-atkritumu-apsaimniekosanu-palielinas-ari-tarifu-iedzivotajiem/" TargetMode="External"/><Relationship Id="rId47" Type="http://schemas.openxmlformats.org/officeDocument/2006/relationships/hyperlink" Target="https://cleanr.lv/aktualitates/valdiba-un-saeima-lemusi-ka-jau-janvari-tiks-palielinats-dabas-resursu-nodoklis-par-neskirotu-atkritumu-apsaimniekosanu-palielinas-ari-tarifu-iedzivotajiem/" TargetMode="External"/><Relationship Id="rId63" Type="http://schemas.openxmlformats.org/officeDocument/2006/relationships/hyperlink" Target="https://www.ekokurzeme.lv/lv/pakalpojumi/liguma-slegsana-skrunda/ek_ligums-skrunda/" TargetMode="External"/><Relationship Id="rId68" Type="http://schemas.openxmlformats.org/officeDocument/2006/relationships/hyperlink" Target="https://www.pilsetvide.lv/lv/informacija-klientiem/cesvaines-novads" TargetMode="External"/><Relationship Id="rId84" Type="http://schemas.openxmlformats.org/officeDocument/2006/relationships/hyperlink" Target="http://vlk.lv/sanitaras-tirisanas-iecirknis/norekinu-tarifi-un-rekviziti/" TargetMode="External"/><Relationship Id="rId89" Type="http://schemas.openxmlformats.org/officeDocument/2006/relationships/hyperlink" Target="https://www.kilupe.lv/pakalpojumi/skiroto-atkritumu-apsaimniekosana/bio-atkritumu-apsaimniekosana/" TargetMode="External"/><Relationship Id="rId112" Type="http://schemas.openxmlformats.org/officeDocument/2006/relationships/hyperlink" Target="http://www.pargaujasnovads.lv/?archive&amp;nid=4007&amp;yearID=2020&amp;monthID=12&amp;dayID=03" TargetMode="External"/><Relationship Id="rId16" Type="http://schemas.openxmlformats.org/officeDocument/2006/relationships/hyperlink" Target="https://www.zaao.lv/lv/privatpersonam/sadzives_atkritumu_maksa" TargetMode="External"/><Relationship Id="rId107" Type="http://schemas.openxmlformats.org/officeDocument/2006/relationships/hyperlink" Target="http://berzaunesku.lv/sadzives-atkritumi/" TargetMode="External"/><Relationship Id="rId11" Type="http://schemas.openxmlformats.org/officeDocument/2006/relationships/hyperlink" Target="https://www.zaao.lv/lv/privatpersonam/sadzives_atkritumu_maksa" TargetMode="External"/><Relationship Id="rId32" Type="http://schemas.openxmlformats.org/officeDocument/2006/relationships/hyperlink" Target="https://www.spaao.lv/lv/aktualitates/noslegt-ligumu-par-sa-izvesanu/aicinam-fiziskas-un-juridiskas-personas-parslegt-ligumus-par-sadzives-atkritumu-apsaimniekosanu-jekabpils-novada-/" TargetMode="External"/><Relationship Id="rId37" Type="http://schemas.openxmlformats.org/officeDocument/2006/relationships/hyperlink" Target="https://cleanr.lv/aktualitates/valdiba-un-saeima-lemusi-ka-jau-janvari-tiks-palielinats-dabas-resursu-nodoklis-par-neskirotu-atkritumu-apsaimniekosanu-palielinas-ari-tarifu-iedzivotajiem/" TargetMode="External"/><Relationship Id="rId53" Type="http://schemas.openxmlformats.org/officeDocument/2006/relationships/hyperlink" Target="https://www.ecobaltiavide.lv/blog/izmainas-sadzives-atkritumu-apsaimniekosanas-maksa-no-2021-gada-1-janvara/" TargetMode="External"/><Relationship Id="rId58" Type="http://schemas.openxmlformats.org/officeDocument/2006/relationships/hyperlink" Target="https://vpgrupa.lv/lv/pakalpojumi/sadzives-atkritumu-apsaimniekosana/" TargetMode="External"/><Relationship Id="rId74" Type="http://schemas.openxmlformats.org/officeDocument/2006/relationships/hyperlink" Target="http://www.aadso.lv/index.php?option=com_content&amp;view=article&amp;id=142&amp;Itemid=60" TargetMode="External"/><Relationship Id="rId79" Type="http://schemas.openxmlformats.org/officeDocument/2006/relationships/hyperlink" Target="http://alaas.lv/wp-content/uploads/2015/11/27.12.2018.valdes-lemums-Nr.3.pdf" TargetMode="External"/><Relationship Id="rId102" Type="http://schemas.openxmlformats.org/officeDocument/2006/relationships/hyperlink" Target="https://www.iecavasdzks.lv/index.php?id=97" TargetMode="External"/><Relationship Id="rId123" Type="http://schemas.openxmlformats.org/officeDocument/2006/relationships/hyperlink" Target="https://www.eis.gov.lv/EKEIS/Supplier/Procurement/34641" TargetMode="External"/><Relationship Id="rId5" Type="http://schemas.openxmlformats.org/officeDocument/2006/relationships/hyperlink" Target="https://www.krimulda.lv/atkritumu-apsaimniekosana/" TargetMode="External"/><Relationship Id="rId90" Type="http://schemas.openxmlformats.org/officeDocument/2006/relationships/hyperlink" Target="https://www.kilupe.lv/pakalpojumi/skiroto-atkritumu-apsaimniekosana/bio-atkritumu-apsaimniekosana/" TargetMode="External"/><Relationship Id="rId95" Type="http://schemas.openxmlformats.org/officeDocument/2006/relationships/hyperlink" Target="https://piejuraatkritumi.lv/pakalpojumi/sadzives-atkritumu-apsaimniekosana/nsa-savaksanas-maksa/" TargetMode="External"/><Relationship Id="rId22" Type="http://schemas.openxmlformats.org/officeDocument/2006/relationships/hyperlink" Target="https://www.zaao.lv/lv/privatpersonam/sadzives_atkritumu_maksa" TargetMode="External"/><Relationship Id="rId27" Type="http://schemas.openxmlformats.org/officeDocument/2006/relationships/hyperlink" Target="https://www.spaao.lv/lv/aktualitates/noslegt-ligumu-par-sa-izvesanu/aicinam-fiziskas-un-juridiskas-personas-parslegt-ligumus-par-sadzives-atkritumu-apsaimniekosanu-jekabpils-novada-/" TargetMode="External"/><Relationship Id="rId43" Type="http://schemas.openxmlformats.org/officeDocument/2006/relationships/hyperlink" Target="https://cleanr.lv/aktualitates/valdiba-un-saeima-lemusi-ka-jau-janvari-tiks-palielinats-dabas-resursu-nodoklis-par-neskirotu-atkritumu-apsaimniekosanu-palielinas-ari-tarifu-iedzivotajiem/" TargetMode="External"/><Relationship Id="rId48" Type="http://schemas.openxmlformats.org/officeDocument/2006/relationships/hyperlink" Target="https://cleanr.lv/aktualitates/valdiba-un-saeima-lemusi-ka-jau-janvari-tiks-palielinats-dabas-resursu-nodoklis-par-neskirotu-atkritumu-apsaimniekosanu-palielinas-ari-tarifu-iedzivotajiem/" TargetMode="External"/><Relationship Id="rId64" Type="http://schemas.openxmlformats.org/officeDocument/2006/relationships/hyperlink" Target="https://www.ekokurzeme.lv/lv/pakalpojumi/ligumu-slegsana-brocenu-novada/ek_ligums-broceni/" TargetMode="External"/><Relationship Id="rId69" Type="http://schemas.openxmlformats.org/officeDocument/2006/relationships/hyperlink" Target="https://www.pilsetvide.lv/lv/informacija-klientiem/erglu-novads" TargetMode="External"/><Relationship Id="rId113" Type="http://schemas.openxmlformats.org/officeDocument/2006/relationships/hyperlink" Target="http://www.pargaujasnovads.lv/?archive&amp;nid=4007&amp;yearID=2020&amp;monthID=12&amp;dayID=03" TargetMode="External"/><Relationship Id="rId118" Type="http://schemas.openxmlformats.org/officeDocument/2006/relationships/hyperlink" Target="http://www.preilusaimnieks.lv/lv/pakalpojumi/atkritumu-apsaimniekosana/atkritumu-izvesanas-un-konteineru-izcenojumi/" TargetMode="External"/><Relationship Id="rId80" Type="http://schemas.openxmlformats.org/officeDocument/2006/relationships/hyperlink" Target="http://alaas.lv/wp-content/uploads/2015/11/27.12.2018.valdes-lemums-Nr.3.pdf" TargetMode="External"/><Relationship Id="rId85" Type="http://schemas.openxmlformats.org/officeDocument/2006/relationships/hyperlink" Target="http://vlk.lv/sanitaras-tirisanas-iecirknis/norekinu-tarifi-un-rekviziti/" TargetMode="External"/><Relationship Id="rId12" Type="http://schemas.openxmlformats.org/officeDocument/2006/relationships/hyperlink" Target="https://www.zaao.lv/lv/privatpersonam/sadzives_atkritumu_maksa" TargetMode="External"/><Relationship Id="rId17" Type="http://schemas.openxmlformats.org/officeDocument/2006/relationships/hyperlink" Target="https://www.zaao.lv/lv/privatpersonam/sadzives_atkritumu_maksa" TargetMode="External"/><Relationship Id="rId33" Type="http://schemas.openxmlformats.org/officeDocument/2006/relationships/hyperlink" Target="https://www.jekabpils-pakalpojumi.lv/lv/pakalpojumi/atkritumu-apsaimniekosana/" TargetMode="External"/><Relationship Id="rId38" Type="http://schemas.openxmlformats.org/officeDocument/2006/relationships/hyperlink" Target="https://cleanr.lv/aktualitates/valdiba-un-saeima-lemusi-ka-jau-janvari-tiks-palielinats-dabas-resursu-nodoklis-par-neskirotu-atkritumu-apsaimniekosanu-palielinas-ari-tarifu-iedzivotajiem/" TargetMode="External"/><Relationship Id="rId59" Type="http://schemas.openxmlformats.org/officeDocument/2006/relationships/hyperlink" Target="https://vpgrupa.lv/lv/pakalpojumi/sadzives-atkritumu-apsaimniekosana/" TargetMode="External"/><Relationship Id="rId103" Type="http://schemas.openxmlformats.org/officeDocument/2006/relationships/hyperlink" Target="http://www.garkalnesks.lv/par-atkritumu-apsaimniekosanu/" TargetMode="External"/><Relationship Id="rId108" Type="http://schemas.openxmlformats.org/officeDocument/2006/relationships/hyperlink" Target="https://madonams.lv/pakalpojumi/atkritumi/" TargetMode="External"/><Relationship Id="rId124" Type="http://schemas.openxmlformats.org/officeDocument/2006/relationships/printerSettings" Target="../printerSettings/printerSettings6.bin"/><Relationship Id="rId54" Type="http://schemas.openxmlformats.org/officeDocument/2006/relationships/hyperlink" Target="https://www.ecobaltiavide.lv/blog/izmainas-sadzives-atkritumu-apsaimniekosanas-maksa-no-2021-gada-1-janvara/" TargetMode="External"/><Relationship Id="rId70" Type="http://schemas.openxmlformats.org/officeDocument/2006/relationships/hyperlink" Target="https://www.pilsetvide.lv/lv/informacija-klientiem/balvu-novads" TargetMode="External"/><Relationship Id="rId75" Type="http://schemas.openxmlformats.org/officeDocument/2006/relationships/hyperlink" Target="https://www.kkp.lv/pakalpojumi/atkritumu-apsaimniekosana/sadzives-atkritumi/" TargetMode="External"/><Relationship Id="rId91" Type="http://schemas.openxmlformats.org/officeDocument/2006/relationships/hyperlink" Target="http://www.videsserviss.lv/atkritumu-apsaimniekosanas-cenas" TargetMode="External"/><Relationship Id="rId96" Type="http://schemas.openxmlformats.org/officeDocument/2006/relationships/hyperlink" Target="https://piejuraatkritumi.lv/pakalpojumi/sadzives-atkritumu-apsaimniekosana/nsa-savaksanas-maksa/" TargetMode="External"/><Relationship Id="rId1" Type="http://schemas.openxmlformats.org/officeDocument/2006/relationships/hyperlink" Target="https://mvd.riga.lv/nozares/vides-parvalde/atkritumu-apsaimniekosana/" TargetMode="External"/><Relationship Id="rId6" Type="http://schemas.openxmlformats.org/officeDocument/2006/relationships/hyperlink" Target="https://www.zaao.lv/lv/privatpersonam/sadzives_atkritumu_maksa" TargetMode="External"/><Relationship Id="rId23" Type="http://schemas.openxmlformats.org/officeDocument/2006/relationships/hyperlink" Target="https://www.zaao.lv/lv/privatpersonam/sadzives_atkritumu_maksa" TargetMode="External"/><Relationship Id="rId28" Type="http://schemas.openxmlformats.org/officeDocument/2006/relationships/hyperlink" Target="https://www.spaao.lv/lv/aktualitates/noslegt-ligumu-par-sa-izvesanu/aicinam-fiziskas-un-juridiskas-personas-parslegt-ligumus-par-sadzives-atkritumu-apsaimniekosanu-jekabpils-novada-/" TargetMode="External"/><Relationship Id="rId49" Type="http://schemas.openxmlformats.org/officeDocument/2006/relationships/hyperlink" Target="https://cleanr.lv/aktualitates/valdiba-un-saeima-lemusi-ka-jau-janvari-tiks-palielinats-dabas-resursu-nodoklis-par-neskirotu-atkritumu-apsaimniekosanu-palielinas-ari-tarifu-iedzivotajiem/" TargetMode="External"/><Relationship Id="rId114" Type="http://schemas.openxmlformats.org/officeDocument/2006/relationships/hyperlink" Target="http://www.pargaujasnovads.lv/?archive&amp;nid=4007&amp;yearID=2020&amp;monthID=12&amp;dayID=03" TargetMode="External"/><Relationship Id="rId119" Type="http://schemas.openxmlformats.org/officeDocument/2006/relationships/hyperlink" Target="https://vilkme.lv/pakalpojumi/atkritumu-izvesana" TargetMode="External"/><Relationship Id="rId44" Type="http://schemas.openxmlformats.org/officeDocument/2006/relationships/hyperlink" Target="https://cleanr.lv/aktualitates/valdiba-un-saeima-lemusi-ka-jau-janvari-tiks-palielinats-dabas-resursu-nodoklis-par-neskirotu-atkritumu-apsaimniekosanu-palielinas-ari-tarifu-iedzivotajiem/" TargetMode="External"/><Relationship Id="rId60" Type="http://schemas.openxmlformats.org/officeDocument/2006/relationships/hyperlink" Target="https://www.ekokurzeme.lv/files/privatmaju_iedzivotajiem_un_juridiskam_personam_grobina.docx" TargetMode="External"/><Relationship Id="rId65" Type="http://schemas.openxmlformats.org/officeDocument/2006/relationships/hyperlink" Target="https://www.ekokurzeme.lv/files/privatmaju_un_juridisko_personu_sa_saldus_ligums_(1).docx" TargetMode="External"/><Relationship Id="rId81" Type="http://schemas.openxmlformats.org/officeDocument/2006/relationships/hyperlink" Target="http://alaas.lv/wp-content/uploads/2015/11/27.12.2018.valdes-lemums-Nr.3.pdf" TargetMode="External"/><Relationship Id="rId86" Type="http://schemas.openxmlformats.org/officeDocument/2006/relationships/hyperlink" Target="http://vlk.lv/sanitaras-tirisanas-iecirknis/norekinu-tarifi-un-rekviziti/" TargetMode="External"/><Relationship Id="rId13" Type="http://schemas.openxmlformats.org/officeDocument/2006/relationships/hyperlink" Target="https://www.zaao.lv/lv/privatpersonam/sadzives_atkritumu_maksa" TargetMode="External"/><Relationship Id="rId18" Type="http://schemas.openxmlformats.org/officeDocument/2006/relationships/hyperlink" Target="https://www.zaao.lv/lv/privatpersonam/sadzives_atkritumu_maksa" TargetMode="External"/><Relationship Id="rId39" Type="http://schemas.openxmlformats.org/officeDocument/2006/relationships/hyperlink" Target="https://cleanr.lv/aktualitates/valdiba-un-saeima-lemusi-ka-jau-janvari-tiks-palielinats-dabas-resursu-nodoklis-par-neskirotu-atkritumu-apsaimniekosanu-palielinas-ari-tarifu-iedzivotajiem/" TargetMode="External"/><Relationship Id="rId109" Type="http://schemas.openxmlformats.org/officeDocument/2006/relationships/hyperlink" Target="http://www.lubana.lv/index.php/lv/homepage-2/noderiga-informacija/161-atkritumu-izvesanas-grafiks" TargetMode="External"/><Relationship Id="rId34" Type="http://schemas.openxmlformats.org/officeDocument/2006/relationships/hyperlink" Target="https://www.jekabpils-pakalpojumi.lv/lv/aktualitates/atkritumu-savaksana-un-parvadasana/ka-mums-veicas-ar-biologiski-noardamo-atkritumu-skirosanu-/?origin=/lv/pakalpojumi/atkritumu-savaksana-un-parvadasana/" TargetMode="External"/><Relationship Id="rId50" Type="http://schemas.openxmlformats.org/officeDocument/2006/relationships/hyperlink" Target="https://www.ecobaltiavide.lv/blog/izmainas-sadzives-atkritumu-apsaimniekosanas-maksa-no-2021-gada-1-janvara/" TargetMode="External"/><Relationship Id="rId55" Type="http://schemas.openxmlformats.org/officeDocument/2006/relationships/hyperlink" Target="https://www.specatu.lv/lv/informacija-klientiem" TargetMode="External"/><Relationship Id="rId76" Type="http://schemas.openxmlformats.org/officeDocument/2006/relationships/hyperlink" Target="https://ludzaps.lv/tarifi/" TargetMode="External"/><Relationship Id="rId97" Type="http://schemas.openxmlformats.org/officeDocument/2006/relationships/hyperlink" Target="https://piejuraatkritumi.lv/pakalpojumi/sadzives-atkritumu-apsaimniekosana/nsa-savaksanas-maksa/" TargetMode="External"/><Relationship Id="rId104" Type="http://schemas.openxmlformats.org/officeDocument/2006/relationships/hyperlink" Target="http://www.garkalnesks.lv/par-atkritumu-apsaimniekosanu/kompostetaju-registracija/" TargetMode="External"/><Relationship Id="rId120" Type="http://schemas.openxmlformats.org/officeDocument/2006/relationships/hyperlink" Target="https://www.salasnovads.lv/lv/sia-vigants-/sia-vigants-pakalpojumi/" TargetMode="External"/><Relationship Id="rId125" Type="http://schemas.openxmlformats.org/officeDocument/2006/relationships/vmlDrawing" Target="../drawings/vmlDrawing4.vml"/><Relationship Id="rId7" Type="http://schemas.openxmlformats.org/officeDocument/2006/relationships/hyperlink" Target="https://www.zaao.lv/lv/privatpersonam/sadzives_atkritumu_maksa" TargetMode="External"/><Relationship Id="rId71" Type="http://schemas.openxmlformats.org/officeDocument/2006/relationships/hyperlink" Target="https://www.livani.lv/lv/atkritumu-apsaimniekosana" TargetMode="External"/><Relationship Id="rId92" Type="http://schemas.openxmlformats.org/officeDocument/2006/relationships/hyperlink" Target="http://www.videsserviss.lv/atkritumu-apsaimniekosanas-cenas" TargetMode="External"/><Relationship Id="rId2" Type="http://schemas.openxmlformats.org/officeDocument/2006/relationships/hyperlink" Target="https://mvd.riga.lv/nozares/vides-parvalde/atkritumu-apsaimniekosana/" TargetMode="External"/><Relationship Id="rId29" Type="http://schemas.openxmlformats.org/officeDocument/2006/relationships/hyperlink" Target="https://www.spaao.lv/lv/aktualitates/noslegt-ligumu-par-sa-izvesanu/aicinam-fiziskas-un-juridiskas-personas-parslegt-ligumus-par-sadzives-atkritumu-apsaimniekosanu-jekabpils-novada-/" TargetMode="External"/><Relationship Id="rId24" Type="http://schemas.openxmlformats.org/officeDocument/2006/relationships/hyperlink" Target="https://www.zaao.lv/lv/privatpersonam/sadzives_atkritumu_maksa" TargetMode="External"/><Relationship Id="rId40" Type="http://schemas.openxmlformats.org/officeDocument/2006/relationships/hyperlink" Target="https://cleanr.lv/aktualitates/valdiba-un-saeima-lemusi-ka-jau-janvari-tiks-palielinats-dabas-resursu-nodoklis-par-neskirotu-atkritumu-apsaimniekosanu-palielinas-ari-tarifu-iedzivotajiem/" TargetMode="External"/><Relationship Id="rId45" Type="http://schemas.openxmlformats.org/officeDocument/2006/relationships/hyperlink" Target="https://cleanr.lv/aktualitates/valdiba-un-saeima-lemusi-ka-jau-janvari-tiks-palielinats-dabas-resursu-nodoklis-par-neskirotu-atkritumu-apsaimniekosanu-palielinas-ari-tarifu-iedzivotajiem/" TargetMode="External"/><Relationship Id="rId66" Type="http://schemas.openxmlformats.org/officeDocument/2006/relationships/hyperlink" Target="https://www.pilsetvide.lv/lv/informacija-klientiem/aluksnes-novads" TargetMode="External"/><Relationship Id="rId87" Type="http://schemas.openxmlformats.org/officeDocument/2006/relationships/hyperlink" Target="https://kegumastars.lv/sadzives-atkritumu-apsaimniekosanas-tarifa-izmainas-ar-01-01-2020" TargetMode="External"/><Relationship Id="rId110" Type="http://schemas.openxmlformats.org/officeDocument/2006/relationships/hyperlink" Target="http://www.pargaujasnovads.lv/?archive&amp;nid=4007&amp;yearID=2020&amp;monthID=12&amp;dayID=03" TargetMode="External"/><Relationship Id="rId115" Type="http://schemas.openxmlformats.org/officeDocument/2006/relationships/hyperlink" Target="http://www.pargaujasnovads.lv/?archive&amp;nid=4007&amp;yearID=2020&amp;monthID=12&amp;dayID=03" TargetMode="External"/><Relationship Id="rId61" Type="http://schemas.openxmlformats.org/officeDocument/2006/relationships/hyperlink" Target="https://www.ekokurzeme.lv/files/privatmaju_iedzivotajiem_un_juridiskam_personam_aizpute.docx" TargetMode="External"/><Relationship Id="rId82" Type="http://schemas.openxmlformats.org/officeDocument/2006/relationships/hyperlink" Target="https://atkritumijkp.lv/pakalpojumi/sadzives-atkritumu-apsaimniekosana" TargetMode="External"/><Relationship Id="rId19" Type="http://schemas.openxmlformats.org/officeDocument/2006/relationships/hyperlink" Target="https://www.zaao.lv/lv/privatpersonam/sadzives_atkritumu_maksa" TargetMode="External"/><Relationship Id="rId14" Type="http://schemas.openxmlformats.org/officeDocument/2006/relationships/hyperlink" Target="https://www.zaao.lv/lv/privatpersonam/sadzives_atkritumu_maksa" TargetMode="External"/><Relationship Id="rId30" Type="http://schemas.openxmlformats.org/officeDocument/2006/relationships/hyperlink" Target="https://www.spaao.lv/lv/aktualitates/noslegt-ligumu-par-sa-izvesanu/aicinam-fiziskas-un-juridiskas-personas-parslegt-ligumus-par-sadzives-atkritumu-apsaimniekosanu-jekabpils-novada-/" TargetMode="External"/><Relationship Id="rId35" Type="http://schemas.openxmlformats.org/officeDocument/2006/relationships/hyperlink" Target="https://www.skriveri.lv/lv/par-atkritumu-apsaimniekosanu-jamaksa-vairak/" TargetMode="External"/><Relationship Id="rId56" Type="http://schemas.openxmlformats.org/officeDocument/2006/relationships/hyperlink" Target="https://www.eis.gov.lv/EKEIS/Supplier/Procurement/34641" TargetMode="External"/><Relationship Id="rId77" Type="http://schemas.openxmlformats.org/officeDocument/2006/relationships/hyperlink" Target="http://alaas.lv/wp-content/uploads/2015/11/27.12.2018.valdes-lemums-Nr.3.pdf" TargetMode="External"/><Relationship Id="rId100" Type="http://schemas.openxmlformats.org/officeDocument/2006/relationships/hyperlink" Target="https://piejuraatkritumi.lv/pakalpojumi/sadzives-atkritumu-apsaimniekosana/nsa-savaksanas-maksa/" TargetMode="External"/><Relationship Id="rId105" Type="http://schemas.openxmlformats.org/officeDocument/2006/relationships/hyperlink" Target="https://www.ekokurzeme.lv/lv/klientu-serviss/atkritumu-apsaimniekosanas-tarifi/" TargetMode="External"/><Relationship Id="rId126" Type="http://schemas.openxmlformats.org/officeDocument/2006/relationships/comments" Target="../comments4.xml"/><Relationship Id="rId8" Type="http://schemas.openxmlformats.org/officeDocument/2006/relationships/hyperlink" Target="https://www.zaao.lv/lv/privatpersonam/sadzives_atkritumu_maksa" TargetMode="External"/><Relationship Id="rId51" Type="http://schemas.openxmlformats.org/officeDocument/2006/relationships/hyperlink" Target="https://www.ecobaltiavide.lv/blog/izmainas-sadzives-atkritumu-apsaimniekosanas-maksa-no-2021-gada-1-janvara/" TargetMode="External"/><Relationship Id="rId72" Type="http://schemas.openxmlformats.org/officeDocument/2006/relationships/hyperlink" Target="http://www.aadso.lv/index.php?option=com_content&amp;view=article&amp;id=138&amp;Itemid=121" TargetMode="External"/><Relationship Id="rId93" Type="http://schemas.openxmlformats.org/officeDocument/2006/relationships/hyperlink" Target="https://www.dobeleskomunalie.lv/pakalpojumi/" TargetMode="External"/><Relationship Id="rId98" Type="http://schemas.openxmlformats.org/officeDocument/2006/relationships/hyperlink" Target="https://piejuraatkritumi.lv/pakalpojumi/sadzives-atkritumu-apsaimniekosana/nsa-savaksanas-maksa/" TargetMode="External"/><Relationship Id="rId121" Type="http://schemas.openxmlformats.org/officeDocument/2006/relationships/hyperlink" Target="https://vpgrupa.lv/lv/pakalpojumi/sadzives-atkritumu-apsaimniekosana/" TargetMode="External"/><Relationship Id="rId3" Type="http://schemas.openxmlformats.org/officeDocument/2006/relationships/hyperlink" Target="https://jumis.lv/wp-content/uploads/2021/03/JUMIS_pakalpojumu_cenradis_Malpils.pdf" TargetMode="External"/><Relationship Id="rId25" Type="http://schemas.openxmlformats.org/officeDocument/2006/relationships/hyperlink" Target="https://www.zaao.lv/lv/privatpersonam/sadzives_atkritumu_maksa" TargetMode="External"/><Relationship Id="rId46" Type="http://schemas.openxmlformats.org/officeDocument/2006/relationships/hyperlink" Target="https://cleanr.lv/aktualitates/valdiba-un-saeima-lemusi-ka-jau-janvari-tiks-palielinats-dabas-resursu-nodoklis-par-neskirotu-atkritumu-apsaimniekosanu-palielinas-ari-tarifu-iedzivotajiem/" TargetMode="External"/><Relationship Id="rId67" Type="http://schemas.openxmlformats.org/officeDocument/2006/relationships/hyperlink" Target="https://www.pilsetvide.lv/lv/informacija-klientiem/gulbenes-novads" TargetMode="External"/><Relationship Id="rId116" Type="http://schemas.openxmlformats.org/officeDocument/2006/relationships/hyperlink" Target="https://kraslava.lv/iedzivotajiem/sadzives-atkritumu-apsaimniekosana/maksa-par-atkritumu-apsaimniekosanu" TargetMode="External"/><Relationship Id="rId20" Type="http://schemas.openxmlformats.org/officeDocument/2006/relationships/hyperlink" Target="https://www.zaao.lv/lv/privatpersonam/sadzives_atkritumu_maksa" TargetMode="External"/><Relationship Id="rId41" Type="http://schemas.openxmlformats.org/officeDocument/2006/relationships/hyperlink" Target="https://cleanr.lv/aktualitates/valdiba-un-saeima-lemusi-ka-jau-janvari-tiks-palielinats-dabas-resursu-nodoklis-par-neskirotu-atkritumu-apsaimniekosanu-palielinas-ari-tarifu-iedzivotajiem/" TargetMode="External"/><Relationship Id="rId62" Type="http://schemas.openxmlformats.org/officeDocument/2006/relationships/hyperlink" Target="https://www.ekokurzeme.lv/files/privatmaju_iedzivotajiem_un_juridiskam_personam_pavilosta.docx" TargetMode="External"/><Relationship Id="rId83" Type="http://schemas.openxmlformats.org/officeDocument/2006/relationships/hyperlink" Target="https://drive.google.com/file/d/1_19gJPErYiU31O7rXMoCRj8JhXoC3PvS/view" TargetMode="External"/><Relationship Id="rId88" Type="http://schemas.openxmlformats.org/officeDocument/2006/relationships/hyperlink" Target="https://www.vestnesis.lv/op/2021/139.14" TargetMode="External"/><Relationship Id="rId111" Type="http://schemas.openxmlformats.org/officeDocument/2006/relationships/hyperlink" Target="http://www.pargaujasnovads.lv/?archive&amp;nid=4007&amp;yearID=2020&amp;monthID=12&amp;dayID=03" TargetMode="External"/><Relationship Id="rId15" Type="http://schemas.openxmlformats.org/officeDocument/2006/relationships/hyperlink" Target="https://www.zaao.lv/lv/privatpersonam/sadzives_atkritumu_maksa" TargetMode="External"/><Relationship Id="rId36" Type="http://schemas.openxmlformats.org/officeDocument/2006/relationships/hyperlink" Target="https://www.plavinunovads.lv/lv/sabiedriba/atkritumu-tarifa-izmainas-plavinu-novada" TargetMode="External"/><Relationship Id="rId57" Type="http://schemas.openxmlformats.org/officeDocument/2006/relationships/hyperlink" Target="https://vpgrupa.lv/lv/pakalpojumi/sadzives-atkritumu-apsaimniekosana/" TargetMode="External"/><Relationship Id="rId106" Type="http://schemas.openxmlformats.org/officeDocument/2006/relationships/hyperlink" Target="http://www.komunalie.lv/services/biologisko-atkritumu-izvesana" TargetMode="External"/><Relationship Id="rId127" Type="http://schemas.microsoft.com/office/2017/10/relationships/threadedComment" Target="../threadedComments/threadedComment3.xml"/><Relationship Id="rId10" Type="http://schemas.openxmlformats.org/officeDocument/2006/relationships/hyperlink" Target="https://www.zaao.lv/lv/privatpersonam/sadzives_atkritumu_maksa" TargetMode="External"/><Relationship Id="rId31" Type="http://schemas.openxmlformats.org/officeDocument/2006/relationships/hyperlink" Target="https://www.spaao.lv/lv/aktualitates/noslegt-ligumu-par-sa-izvesanu/aicinam-fiziskas-un-juridiskas-personas-parslegt-ligumus-par-sadzives-atkritumu-apsaimniekosanu-jekabpils-novada-/" TargetMode="External"/><Relationship Id="rId52" Type="http://schemas.openxmlformats.org/officeDocument/2006/relationships/hyperlink" Target="https://www.ecobaltiavide.lv/blog/izmainas-sadzives-atkritumu-apsaimniekosanas-maksa-no-2021-gada-1-janvara/" TargetMode="External"/><Relationship Id="rId73" Type="http://schemas.openxmlformats.org/officeDocument/2006/relationships/hyperlink" Target="http://www.aadso.lv/index.php?option=com_content&amp;view=article&amp;id=144&amp;Itemid=128" TargetMode="External"/><Relationship Id="rId78" Type="http://schemas.openxmlformats.org/officeDocument/2006/relationships/hyperlink" Target="http://alaas.lv/wp-content/uploads/2015/11/27.12.2018.valdes-lemums-Nr.3.pdf" TargetMode="External"/><Relationship Id="rId94" Type="http://schemas.openxmlformats.org/officeDocument/2006/relationships/hyperlink" Target="https://piejuraatkritumi.lv/pakalpojumi/sadzives-atkritumu-apsaimniekosana/nsa-savaksanas-maksa/" TargetMode="External"/><Relationship Id="rId99" Type="http://schemas.openxmlformats.org/officeDocument/2006/relationships/hyperlink" Target="https://piejuraatkritumi.lv/pakalpojumi/sadzives-atkritumu-apsaimniekosana/nsa-savaksanas-maksa/" TargetMode="External"/><Relationship Id="rId101" Type="http://schemas.openxmlformats.org/officeDocument/2006/relationships/hyperlink" Target="https://piejuraatkritumi.lv/pakalpojumi/sadzives-atkritumu-apsaimniekosana/nsa-savaksanas-maksa/" TargetMode="External"/><Relationship Id="rId122" Type="http://schemas.openxmlformats.org/officeDocument/2006/relationships/hyperlink" Target="https://www.ekokurzeme.lv/files/privatmaju_iedzivotajiem_un_juridiskam_personam_liepajas_pilseta.docx" TargetMode="External"/><Relationship Id="rId4" Type="http://schemas.openxmlformats.org/officeDocument/2006/relationships/hyperlink" Target="https://jumis.lv/wp-content/uploads/2021/03/JUMIS_pakalpojumu_cenradis_Sigulda.pdf" TargetMode="External"/><Relationship Id="rId9" Type="http://schemas.openxmlformats.org/officeDocument/2006/relationships/hyperlink" Target="https://www.zaao.lv/lv/privatpersonam/sadzives_atkritumu_maksa"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microsoft.com/office/2017/10/relationships/threadedComment" Target="../threadedComments/threadedComment5.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4.xml"/><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F00B-8DA4-4D0C-A5D5-F18AAF20893F}">
  <sheetPr>
    <tabColor rgb="FF92D050"/>
  </sheetPr>
  <dimension ref="A1:AC132"/>
  <sheetViews>
    <sheetView tabSelected="1" zoomScale="70" zoomScaleNormal="70" workbookViewId="0">
      <pane xSplit="1" ySplit="4" topLeftCell="B5" activePane="bottomRight" state="frozen"/>
      <selection pane="topRight" activeCell="B1" sqref="B1"/>
      <selection pane="bottomLeft" activeCell="A5" sqref="A5"/>
      <selection pane="bottomRight"/>
    </sheetView>
  </sheetViews>
  <sheetFormatPr defaultColWidth="8.90625" defaultRowHeight="13" outlineLevelRow="1" x14ac:dyDescent="0.3"/>
  <cols>
    <col min="1" max="1" width="27.81640625" style="108" customWidth="1"/>
    <col min="2" max="4" width="11.54296875" style="109" customWidth="1"/>
    <col min="5" max="7" width="11.54296875" style="110" customWidth="1"/>
    <col min="8" max="13" width="11.54296875" style="109" customWidth="1"/>
    <col min="14" max="15" width="19.453125" style="108" customWidth="1"/>
    <col min="16" max="18" width="11.54296875" style="108" customWidth="1"/>
    <col min="19" max="21" width="13.81640625" style="108" customWidth="1"/>
    <col min="22" max="24" width="11.54296875" style="108" customWidth="1"/>
    <col min="25" max="25" width="13.36328125" style="108" customWidth="1"/>
    <col min="26" max="26" width="13.36328125" style="108" hidden="1" customWidth="1"/>
    <col min="27" max="27" width="10" style="108" bestFit="1" customWidth="1"/>
    <col min="28" max="28" width="8" style="108" customWidth="1"/>
    <col min="29" max="29" width="67.90625" style="108" customWidth="1"/>
    <col min="30" max="16384" width="8.90625" style="108"/>
  </cols>
  <sheetData>
    <row r="1" spans="1:29" ht="26" x14ac:dyDescent="0.6">
      <c r="A1" s="39" t="s">
        <v>428</v>
      </c>
      <c r="H1" s="111"/>
      <c r="I1" s="112"/>
    </row>
    <row r="2" spans="1:29" ht="14.5" x14ac:dyDescent="0.35">
      <c r="H2" s="111"/>
      <c r="I2" s="112"/>
      <c r="J2" s="112"/>
      <c r="P2" s="81"/>
      <c r="Q2" s="81"/>
    </row>
    <row r="3" spans="1:29" s="142" customFormat="1" ht="55.25" customHeight="1" x14ac:dyDescent="0.35">
      <c r="A3" s="205" t="s">
        <v>429</v>
      </c>
      <c r="B3" s="209" t="s">
        <v>0</v>
      </c>
      <c r="C3" s="209"/>
      <c r="D3" s="209"/>
      <c r="E3" s="211" t="s">
        <v>305</v>
      </c>
      <c r="F3" s="211"/>
      <c r="G3" s="211"/>
      <c r="H3" s="210" t="s">
        <v>420</v>
      </c>
      <c r="I3" s="210"/>
      <c r="J3" s="210"/>
      <c r="K3" s="210" t="s">
        <v>421</v>
      </c>
      <c r="L3" s="210"/>
      <c r="M3" s="210"/>
      <c r="N3" s="120" t="s">
        <v>422</v>
      </c>
      <c r="O3" s="120" t="s">
        <v>423</v>
      </c>
      <c r="P3" s="208" t="s">
        <v>424</v>
      </c>
      <c r="Q3" s="208"/>
      <c r="R3" s="208"/>
      <c r="S3" s="208" t="s">
        <v>425</v>
      </c>
      <c r="T3" s="208"/>
      <c r="U3" s="208"/>
      <c r="V3" s="208" t="s">
        <v>426</v>
      </c>
      <c r="W3" s="208"/>
      <c r="X3" s="208"/>
      <c r="Y3" s="141" t="s">
        <v>427</v>
      </c>
      <c r="Z3" s="141" t="s">
        <v>354</v>
      </c>
      <c r="AB3" s="207" t="s">
        <v>341</v>
      </c>
      <c r="AC3" s="207"/>
    </row>
    <row r="4" spans="1:29" x14ac:dyDescent="0.3">
      <c r="A4" s="206"/>
      <c r="B4" s="122">
        <v>2021</v>
      </c>
      <c r="C4" s="122">
        <v>2022</v>
      </c>
      <c r="D4" s="122">
        <v>2023</v>
      </c>
      <c r="E4" s="123">
        <v>2021</v>
      </c>
      <c r="F4" s="123">
        <v>2022</v>
      </c>
      <c r="G4" s="123">
        <v>2023</v>
      </c>
      <c r="H4" s="122">
        <v>2021</v>
      </c>
      <c r="I4" s="122">
        <v>2022</v>
      </c>
      <c r="J4" s="122">
        <v>2023</v>
      </c>
      <c r="K4" s="122">
        <v>2021</v>
      </c>
      <c r="L4" s="122">
        <v>2022</v>
      </c>
      <c r="M4" s="122">
        <v>2023</v>
      </c>
      <c r="N4" s="122">
        <v>2021</v>
      </c>
      <c r="O4" s="122">
        <v>2021</v>
      </c>
      <c r="P4" s="122">
        <v>2021</v>
      </c>
      <c r="Q4" s="122">
        <v>2022</v>
      </c>
      <c r="R4" s="122">
        <v>2023</v>
      </c>
      <c r="S4" s="122">
        <v>2021</v>
      </c>
      <c r="T4" s="122">
        <v>2022</v>
      </c>
      <c r="U4" s="122">
        <v>2023</v>
      </c>
      <c r="V4" s="122">
        <v>2021</v>
      </c>
      <c r="W4" s="122">
        <v>2022</v>
      </c>
      <c r="X4" s="122">
        <v>2023</v>
      </c>
      <c r="Y4" s="124" t="s">
        <v>355</v>
      </c>
      <c r="Z4" s="124" t="s">
        <v>355</v>
      </c>
      <c r="AB4" s="207"/>
      <c r="AC4" s="207"/>
    </row>
    <row r="5" spans="1:29" s="113" customFormat="1" ht="18.5" x14ac:dyDescent="0.45">
      <c r="A5" s="98" t="s">
        <v>306</v>
      </c>
      <c r="B5" s="125">
        <f>SUM(B6:B124)</f>
        <v>1893223</v>
      </c>
      <c r="C5" s="125">
        <f>SUM(C6:C124)</f>
        <v>1876426</v>
      </c>
      <c r="D5" s="125">
        <f>SUM(D6:D124)</f>
        <v>1859631</v>
      </c>
      <c r="E5" s="126">
        <f>IKP!J5</f>
        <v>31075056.674999997</v>
      </c>
      <c r="F5" s="126">
        <f>IKP!K5</f>
        <v>32659884.565424994</v>
      </c>
      <c r="G5" s="126">
        <f>IKP!L5</f>
        <v>33900960.178911142</v>
      </c>
      <c r="H5" s="127">
        <f>((-0.0000000006)*IKP!$J$5 + 0.0461)*E5</f>
        <v>853164.62430482276</v>
      </c>
      <c r="I5" s="127">
        <f>((-0.0000000006)*IKP!$K$5 + 0.0461)*F5</f>
        <v>865619.84256996086</v>
      </c>
      <c r="J5" s="127">
        <f>((-0.0000000006)*IKP!$L$5 + 0.0461)*G5</f>
        <v>873269.20361653226</v>
      </c>
      <c r="K5" s="127">
        <f t="shared" ref="K5:K36" si="0">H5*$AB$6*$AB$5</f>
        <v>204759.50983315747</v>
      </c>
      <c r="L5" s="127">
        <f t="shared" ref="L5:L36" si="1">I5*$AB$6*$AB$5</f>
        <v>207748.76221679061</v>
      </c>
      <c r="M5" s="127">
        <f t="shared" ref="M5:M36" si="2">J5*$AB$6*$AB$5</f>
        <v>209584.60886796776</v>
      </c>
      <c r="N5" s="128" t="s">
        <v>333</v>
      </c>
      <c r="O5" s="128" t="s">
        <v>333</v>
      </c>
      <c r="P5" s="129">
        <f t="shared" ref="P5:X5" si="3">SUM(P7:P129)</f>
        <v>44882883.69107838</v>
      </c>
      <c r="Q5" s="129">
        <f t="shared" si="3"/>
        <v>45530225.155958757</v>
      </c>
      <c r="R5" s="129">
        <f t="shared" si="3"/>
        <v>45924499.383549988</v>
      </c>
      <c r="S5" s="129">
        <f t="shared" si="3"/>
        <v>35025083.223782383</v>
      </c>
      <c r="T5" s="129">
        <f t="shared" si="3"/>
        <v>35528974.483118668</v>
      </c>
      <c r="U5" s="129">
        <f t="shared" si="3"/>
        <v>35835344.003276102</v>
      </c>
      <c r="V5" s="129">
        <f t="shared" si="3"/>
        <v>9857800.4672960006</v>
      </c>
      <c r="W5" s="129">
        <f t="shared" si="3"/>
        <v>10001250.672840113</v>
      </c>
      <c r="X5" s="129">
        <f t="shared" si="3"/>
        <v>10089155.380273884</v>
      </c>
      <c r="Y5" s="143">
        <f>SUM(V5:X5)</f>
        <v>29948206.520410001</v>
      </c>
      <c r="Z5" s="130">
        <f>V5/B5+W5/C5+X5/D5</f>
        <v>15.962188346383718</v>
      </c>
      <c r="AB5" s="140">
        <v>0.6</v>
      </c>
      <c r="AC5" s="23" t="s">
        <v>430</v>
      </c>
    </row>
    <row r="6" spans="1:29" s="115" customFormat="1" ht="14.5" x14ac:dyDescent="0.35">
      <c r="A6" s="131" t="s">
        <v>1</v>
      </c>
      <c r="B6" s="132">
        <f>VLOOKUP(A6,Iedz_sk!$B$5:$Y$123,15,FALSE)</f>
        <v>614618</v>
      </c>
      <c r="C6" s="132">
        <f>VLOOKUP(A6,Iedz_sk!$B$5:$Y$123,16,FALSE)</f>
        <v>615772</v>
      </c>
      <c r="D6" s="132">
        <f>VLOOKUP(A6,Iedz_sk!$B$5:$Y$123,17,FALSE)</f>
        <v>616925</v>
      </c>
      <c r="E6" s="133">
        <f>VLOOKUP($A6,IKP!$Q$6:$AC$124,11,FALSE)</f>
        <v>17476089.690851513</v>
      </c>
      <c r="F6" s="133">
        <f>VLOOKUP($A6,IKP!$Q$6:$AC$124,12,FALSE)</f>
        <v>18367370.265084941</v>
      </c>
      <c r="G6" s="133">
        <f>VLOOKUP($A6,IKP!$Q$6:$AC$124,13,FALSE)</f>
        <v>19065330.335158169</v>
      </c>
      <c r="H6" s="134">
        <f>((-0.0000000006)*IKP!$J$5 + 0.0461)*E6</f>
        <v>479805.44818789844</v>
      </c>
      <c r="I6" s="134">
        <f>((-0.0000000006)*IKP!$K$5 + 0.0461)*F6</f>
        <v>486810.05364355963</v>
      </c>
      <c r="J6" s="134">
        <f>((-0.0000000006)*IKP!$L$5 + 0.0461)*G6</f>
        <v>491111.92575680139</v>
      </c>
      <c r="K6" s="134">
        <f>H6*$AB$6*$AB$5</f>
        <v>115153.30756509562</v>
      </c>
      <c r="L6" s="134">
        <f t="shared" si="1"/>
        <v>116834.41287445431</v>
      </c>
      <c r="M6" s="134">
        <f t="shared" si="2"/>
        <v>117866.86218163234</v>
      </c>
      <c r="N6" s="135">
        <f>VLOOKUP(A6,NSAmaksa_2021!$A$4:$N$138,12,FALSE)</f>
        <v>79.75</v>
      </c>
      <c r="O6" s="135">
        <f>VLOOKUP(A6,NSAmaksa_2021!$A$4:$N$138,14,FALSE)</f>
        <v>32.391666666666666</v>
      </c>
      <c r="P6" s="134">
        <f t="shared" ref="P6:P37" si="4">H6*$AB$5*$N6</f>
        <v>22958690.695790939</v>
      </c>
      <c r="Q6" s="134">
        <f t="shared" ref="Q6:Q37" si="5">I6*$AB$5*$N6</f>
        <v>23293861.066844326</v>
      </c>
      <c r="R6" s="134">
        <f t="shared" ref="R6:R37" si="6">J6*$AB$5*$N6</f>
        <v>23499705.647462945</v>
      </c>
      <c r="S6" s="134">
        <f t="shared" ref="S6:S37" si="7">H6*$AB$5*(1-$AB$6)*$N6+K6*$O6</f>
        <v>17505221.971687287</v>
      </c>
      <c r="T6" s="134">
        <f t="shared" ref="T6:T37" si="8">I6*$AB$5*(1-$AB$6)*$N6+L6*$O6</f>
        <v>17760777.997131627</v>
      </c>
      <c r="U6" s="134">
        <f t="shared" ref="U6:U37" si="9">J6*$AB$5*(1-$AB$6)*$N6+M6*$O6</f>
        <v>17917727.499311142</v>
      </c>
      <c r="V6" s="134">
        <f>P6-S6</f>
        <v>5453468.7241036519</v>
      </c>
      <c r="W6" s="134">
        <f t="shared" ref="W6" si="10">Q6-T6</f>
        <v>5533083.0697126985</v>
      </c>
      <c r="X6" s="134">
        <f t="shared" ref="X6:X7" si="11">R6-U6</f>
        <v>5581978.1481518038</v>
      </c>
      <c r="Y6" s="134">
        <f t="shared" ref="Y6:Y7" si="12">SUM(V6:X6)</f>
        <v>16568529.941968154</v>
      </c>
      <c r="Z6" s="136">
        <f t="shared" ref="Z6:Z7" si="13">V6/B6+W6/C6+X6/D6</f>
        <v>26.906609743112259</v>
      </c>
      <c r="AB6" s="140">
        <v>0.4</v>
      </c>
      <c r="AC6" s="23" t="s">
        <v>340</v>
      </c>
    </row>
    <row r="7" spans="1:29" outlineLevel="1" x14ac:dyDescent="0.3">
      <c r="A7" s="98" t="s">
        <v>2</v>
      </c>
      <c r="B7" s="132">
        <f>VLOOKUP(A7,Iedz_sk!$B$5:$Y$123,15,FALSE)</f>
        <v>80627</v>
      </c>
      <c r="C7" s="132">
        <f>VLOOKUP(A7,Iedz_sk!$B$5:$Y$123,16,FALSE)</f>
        <v>79117</v>
      </c>
      <c r="D7" s="132">
        <f>VLOOKUP(A7,Iedz_sk!$B$5:$Y$123,17,FALSE)</f>
        <v>77607</v>
      </c>
      <c r="E7" s="133">
        <f>VLOOKUP($A7,IKP!$Q$6:$AC$124,11,FALSE)</f>
        <v>738858.72397600824</v>
      </c>
      <c r="F7" s="133">
        <f>VLOOKUP($A7,IKP!$Q$6:$AC$124,12,FALSE)</f>
        <v>776540.51889878465</v>
      </c>
      <c r="G7" s="133">
        <f>VLOOKUP($A7,IKP!$Q$6:$AC$124,13,FALSE)</f>
        <v>806049.05861693854</v>
      </c>
      <c r="H7" s="132">
        <f>((-0.0000000006)*IKP!$J$5 + 0.0461)*E7</f>
        <v>20285.341141870402</v>
      </c>
      <c r="I7" s="132">
        <f>((-0.0000000006)*IKP!$K$5 + 0.0461)*F7</f>
        <v>20581.483696668256</v>
      </c>
      <c r="J7" s="132">
        <f>((-0.0000000006)*IKP!$L$5 + 0.0461)*G7</f>
        <v>20763.359379187881</v>
      </c>
      <c r="K7" s="132">
        <f>H7*$AB$6*$AB$5</f>
        <v>4868.4818740488963</v>
      </c>
      <c r="L7" s="132">
        <f t="shared" si="1"/>
        <v>4939.5560872003816</v>
      </c>
      <c r="M7" s="132">
        <f t="shared" si="2"/>
        <v>4983.2062510050919</v>
      </c>
      <c r="N7" s="137">
        <f>VLOOKUP(A7,NSAmaksa_2021!$A$4:$N$138,12,FALSE)</f>
        <v>58.6</v>
      </c>
      <c r="O7" s="137">
        <f>VLOOKUP(A7,NSAmaksa_2021!$A$4:$N$138,14,FALSE)</f>
        <v>27.346666666666668</v>
      </c>
      <c r="P7" s="132">
        <f t="shared" si="4"/>
        <v>713232.59454816335</v>
      </c>
      <c r="Q7" s="132">
        <f>I7*$AB$5*$N7</f>
        <v>723644.96677485586</v>
      </c>
      <c r="R7" s="132">
        <f>J7*$AB$5*$N7</f>
        <v>730039.71577224589</v>
      </c>
      <c r="S7" s="132">
        <f>H7*$AB$5*(1-$AB$6)*$N7+K7*$O7</f>
        <v>561076.30771122174</v>
      </c>
      <c r="T7" s="132">
        <f t="shared" si="8"/>
        <v>569267.37386288657</v>
      </c>
      <c r="U7" s="132">
        <f t="shared" si="9"/>
        <v>574297.90974083345</v>
      </c>
      <c r="V7" s="132">
        <f t="shared" ref="V7" si="14">P7-S7</f>
        <v>152156.28683694161</v>
      </c>
      <c r="W7" s="132">
        <f>Q7-T7</f>
        <v>154377.59291196929</v>
      </c>
      <c r="X7" s="132">
        <f t="shared" si="11"/>
        <v>155741.80603141245</v>
      </c>
      <c r="Y7" s="132">
        <f t="shared" si="12"/>
        <v>462275.68578032334</v>
      </c>
      <c r="Z7" s="138">
        <f t="shared" si="13"/>
        <v>5.8452208660350493</v>
      </c>
    </row>
    <row r="8" spans="1:29" outlineLevel="1" x14ac:dyDescent="0.3">
      <c r="A8" s="98" t="s">
        <v>3</v>
      </c>
      <c r="B8" s="132">
        <f>VLOOKUP(A8,Iedz_sk!$B$5:$Y$123,15,FALSE)</f>
        <v>21629</v>
      </c>
      <c r="C8" s="132">
        <f>VLOOKUP(A8,Iedz_sk!$B$5:$Y$123,16,FALSE)</f>
        <v>21261</v>
      </c>
      <c r="D8" s="132">
        <f>VLOOKUP(A8,Iedz_sk!$B$5:$Y$123,17,FALSE)</f>
        <v>20893</v>
      </c>
      <c r="E8" s="133">
        <f>VLOOKUP($A8,IKP!$Q$6:$AC$124,11,FALSE)</f>
        <v>249971.80159214966</v>
      </c>
      <c r="F8" s="133">
        <f>VLOOKUP($A8,IKP!$Q$6:$AC$124,12,FALSE)</f>
        <v>262720.36347334925</v>
      </c>
      <c r="G8" s="133">
        <f>VLOOKUP($A8,IKP!$Q$6:$AC$124,13,FALSE)</f>
        <v>272703.73728533654</v>
      </c>
      <c r="H8" s="132">
        <f>((-0.0000000006)*IKP!$J$5 + 0.0461)*E8</f>
        <v>6862.9673124213568</v>
      </c>
      <c r="I8" s="132">
        <f>((-0.0000000006)*IKP!$K$5 + 0.0461)*F8</f>
        <v>6963.1587097057509</v>
      </c>
      <c r="J8" s="132">
        <f>((-0.0000000006)*IKP!$L$5 + 0.0461)*G8</f>
        <v>7024.6911658437512</v>
      </c>
      <c r="K8" s="132">
        <f t="shared" si="0"/>
        <v>1647.1121549811257</v>
      </c>
      <c r="L8" s="132">
        <f t="shared" si="1"/>
        <v>1671.1580903293802</v>
      </c>
      <c r="M8" s="132">
        <f t="shared" si="2"/>
        <v>1685.9258798025003</v>
      </c>
      <c r="N8" s="137">
        <f>VLOOKUP(A8,NSAmaksa_2021!$A$4:$N$138,12,FALSE)</f>
        <v>117.15</v>
      </c>
      <c r="O8" s="137">
        <f>VLOOKUP(A8,NSAmaksa_2021!$A$4:$N$138,14,FALSE)</f>
        <v>54.67</v>
      </c>
      <c r="P8" s="132">
        <f t="shared" si="4"/>
        <v>482397.97239009716</v>
      </c>
      <c r="Q8" s="132">
        <f t="shared" si="5"/>
        <v>489440.42570521723</v>
      </c>
      <c r="R8" s="132">
        <f t="shared" si="6"/>
        <v>493765.5420471573</v>
      </c>
      <c r="S8" s="132">
        <f t="shared" si="7"/>
        <v>379486.4049468764</v>
      </c>
      <c r="T8" s="132">
        <f t="shared" si="8"/>
        <v>385026.46822143754</v>
      </c>
      <c r="U8" s="132">
        <f t="shared" si="9"/>
        <v>388428.89307709702</v>
      </c>
      <c r="V8" s="132">
        <f t="shared" ref="V8:V71" si="15">P8-S8</f>
        <v>102911.56744322076</v>
      </c>
      <c r="W8" s="132">
        <f t="shared" ref="W8:W71" si="16">Q8-T8</f>
        <v>104413.9574837797</v>
      </c>
      <c r="X8" s="132">
        <f t="shared" ref="X8:X71" si="17">R8-U8</f>
        <v>105336.64897006028</v>
      </c>
      <c r="Y8" s="132">
        <f t="shared" ref="Y8:Y71" si="18">SUM(V8:X8)</f>
        <v>312662.17389706074</v>
      </c>
      <c r="Z8" s="138">
        <f t="shared" ref="Z8:Z71" si="19">V8/B8+W8/C8+X8/D8</f>
        <v>14.710811785440939</v>
      </c>
    </row>
    <row r="9" spans="1:29" outlineLevel="1" x14ac:dyDescent="0.3">
      <c r="A9" s="98" t="s">
        <v>4</v>
      </c>
      <c r="B9" s="132">
        <f>VLOOKUP(A9,Iedz_sk!$B$5:$Y$123,15,FALSE)</f>
        <v>50248</v>
      </c>
      <c r="C9" s="132">
        <f>VLOOKUP(A9,Iedz_sk!$B$5:$Y$123,16,FALSE)</f>
        <v>49821</v>
      </c>
      <c r="D9" s="132">
        <f>VLOOKUP(A9,Iedz_sk!$B$5:$Y$123,17,FALSE)</f>
        <v>49394</v>
      </c>
      <c r="E9" s="133">
        <f>VLOOKUP($A9,IKP!$Q$6:$AC$124,11,FALSE)</f>
        <v>449115.7015194947</v>
      </c>
      <c r="F9" s="133">
        <f>VLOOKUP($A9,IKP!$Q$6:$AC$124,12,FALSE)</f>
        <v>472020.60229698889</v>
      </c>
      <c r="G9" s="133">
        <f>VLOOKUP($A9,IKP!$Q$6:$AC$124,13,FALSE)</f>
        <v>489957.38518427446</v>
      </c>
      <c r="H9" s="132">
        <f>((-0.0000000006)*IKP!$J$5 + 0.0461)*E9</f>
        <v>12330.456313038299</v>
      </c>
      <c r="I9" s="132">
        <f>((-0.0000000006)*IKP!$K$5 + 0.0461)*F9</f>
        <v>12510.466735777967</v>
      </c>
      <c r="J9" s="132">
        <f>((-0.0000000006)*IKP!$L$5 + 0.0461)*G9</f>
        <v>12621.019974297744</v>
      </c>
      <c r="K9" s="132">
        <f>H9*$AB$6*$AB$5</f>
        <v>2959.3095151291923</v>
      </c>
      <c r="L9" s="132">
        <f t="shared" si="1"/>
        <v>3002.5120165867124</v>
      </c>
      <c r="M9" s="132">
        <f t="shared" si="2"/>
        <v>3029.0447938314587</v>
      </c>
      <c r="N9" s="137">
        <f>VLOOKUP(A9,NSAmaksa_2021!$A$4:$N$138,12,FALSE)</f>
        <v>125.86</v>
      </c>
      <c r="O9" s="137">
        <f>VLOOKUP(A9,NSAmaksa_2021!$A$4:$N$138,14,FALSE)</f>
        <v>88.10199999999999</v>
      </c>
      <c r="P9" s="132">
        <f t="shared" si="4"/>
        <v>931146.73893540015</v>
      </c>
      <c r="Q9" s="132">
        <f t="shared" si="5"/>
        <v>944740.40601900895</v>
      </c>
      <c r="R9" s="132">
        <f t="shared" si="6"/>
        <v>953088.94437906845</v>
      </c>
      <c r="S9" s="132">
        <f t="shared" si="7"/>
        <v>819409.13026315207</v>
      </c>
      <c r="T9" s="132">
        <f t="shared" si="8"/>
        <v>831371.5572967279</v>
      </c>
      <c r="U9" s="132">
        <f t="shared" si="9"/>
        <v>838718.2710535801</v>
      </c>
      <c r="V9" s="132">
        <f t="shared" si="15"/>
        <v>111737.60867224808</v>
      </c>
      <c r="W9" s="132">
        <f t="shared" si="16"/>
        <v>113368.84872228105</v>
      </c>
      <c r="X9" s="132">
        <f t="shared" si="17"/>
        <v>114370.67332548834</v>
      </c>
      <c r="Y9" s="132">
        <f t="shared" si="18"/>
        <v>339477.13072001748</v>
      </c>
      <c r="Z9" s="138">
        <f t="shared" si="19"/>
        <v>6.8147229061635404</v>
      </c>
    </row>
    <row r="10" spans="1:29" outlineLevel="1" x14ac:dyDescent="0.3">
      <c r="A10" s="98" t="s">
        <v>5</v>
      </c>
      <c r="B10" s="132">
        <f>VLOOKUP(A10,Iedz_sk!$B$5:$Y$123,15,FALSE)</f>
        <v>55336</v>
      </c>
      <c r="C10" s="132">
        <f>VLOOKUP(A10,Iedz_sk!$B$5:$Y$123,16,FALSE)</f>
        <v>54885</v>
      </c>
      <c r="D10" s="132">
        <f>VLOOKUP(A10,Iedz_sk!$B$5:$Y$123,17,FALSE)</f>
        <v>54435</v>
      </c>
      <c r="E10" s="133">
        <f>VLOOKUP($A10,IKP!$Q$6:$AC$124,11,FALSE)</f>
        <v>621956.14901143278</v>
      </c>
      <c r="F10" s="133">
        <f>VLOOKUP($A10,IKP!$Q$6:$AC$124,12,FALSE)</f>
        <v>653675.91261101584</v>
      </c>
      <c r="G10" s="133">
        <f>VLOOKUP($A10,IKP!$Q$6:$AC$124,13,FALSE)</f>
        <v>678515.59729023441</v>
      </c>
      <c r="H10" s="132">
        <f>((-0.0000000006)*IKP!$J$5 + 0.0461)*E10</f>
        <v>17075.784921490042</v>
      </c>
      <c r="I10" s="132">
        <f>((-0.0000000006)*IKP!$K$5 + 0.0461)*F10</f>
        <v>17325.071661923066</v>
      </c>
      <c r="J10" s="132">
        <f>((-0.0000000006)*IKP!$L$5 + 0.0461)*G10</f>
        <v>17478.170888376</v>
      </c>
      <c r="K10" s="132">
        <f t="shared" si="0"/>
        <v>4098.1883811576099</v>
      </c>
      <c r="L10" s="132">
        <f t="shared" si="1"/>
        <v>4158.0171988615357</v>
      </c>
      <c r="M10" s="132">
        <f t="shared" si="2"/>
        <v>4194.76101321024</v>
      </c>
      <c r="N10" s="137">
        <f>VLOOKUP(A10,NSAmaksa_2021!$A$4:$N$138,12,FALSE)</f>
        <v>102.85</v>
      </c>
      <c r="O10" s="137">
        <f>VLOOKUP(A10,NSAmaksa_2021!$A$4:$N$138,14,FALSE)</f>
        <v>28.313999999999997</v>
      </c>
      <c r="P10" s="132">
        <f t="shared" si="4"/>
        <v>1053746.6875051502</v>
      </c>
      <c r="Q10" s="132">
        <f t="shared" si="5"/>
        <v>1069130.1722572723</v>
      </c>
      <c r="R10" s="132">
        <f t="shared" si="6"/>
        <v>1078577.9255216827</v>
      </c>
      <c r="S10" s="132">
        <f t="shared" si="7"/>
        <v>748284.11832718679</v>
      </c>
      <c r="T10" s="132">
        <f t="shared" si="8"/>
        <v>759208.20232292893</v>
      </c>
      <c r="U10" s="132">
        <f t="shared" si="9"/>
        <v>765917.21864104434</v>
      </c>
      <c r="V10" s="132">
        <f t="shared" si="15"/>
        <v>305462.56917796342</v>
      </c>
      <c r="W10" s="132">
        <f t="shared" si="16"/>
        <v>309921.96993434336</v>
      </c>
      <c r="X10" s="132">
        <f t="shared" si="17"/>
        <v>312660.70688063838</v>
      </c>
      <c r="Y10" s="132">
        <f t="shared" si="18"/>
        <v>928045.24599294516</v>
      </c>
      <c r="Z10" s="138">
        <f t="shared" si="19"/>
        <v>16.910637639410076</v>
      </c>
    </row>
    <row r="11" spans="1:29" s="115" customFormat="1" outlineLevel="1" x14ac:dyDescent="0.3">
      <c r="A11" s="131" t="s">
        <v>6</v>
      </c>
      <c r="B11" s="132">
        <f>VLOOKUP(A11,Iedz_sk!$B$5:$Y$123,15,FALSE)</f>
        <v>67964</v>
      </c>
      <c r="C11" s="132">
        <f>VLOOKUP(A11,Iedz_sk!$B$5:$Y$123,16,FALSE)</f>
        <v>66775</v>
      </c>
      <c r="D11" s="132">
        <f>VLOOKUP(A11,Iedz_sk!$B$5:$Y$123,17,FALSE)</f>
        <v>65587</v>
      </c>
      <c r="E11" s="133">
        <f>VLOOKUP($A11,IKP!$Q$6:$AC$124,11,FALSE)</f>
        <v>956530.2654413135</v>
      </c>
      <c r="F11" s="133">
        <f>VLOOKUP($A11,IKP!$Q$6:$AC$124,12,FALSE)</f>
        <v>1005313.3089788205</v>
      </c>
      <c r="G11" s="133">
        <f>VLOOKUP($A11,IKP!$Q$6:$AC$124,13,FALSE)</f>
        <v>1043515.2147200156</v>
      </c>
      <c r="H11" s="132">
        <f>((-0.0000000006)*IKP!$J$5 + 0.0461)*E11</f>
        <v>26261.50591087959</v>
      </c>
      <c r="I11" s="132">
        <f>((-0.0000000006)*IKP!$K$5 + 0.0461)*F11</f>
        <v>26644.893569923403</v>
      </c>
      <c r="J11" s="132">
        <f>((-0.0000000006)*IKP!$L$5 + 0.0461)*G11</f>
        <v>26880.350754406027</v>
      </c>
      <c r="K11" s="132">
        <f t="shared" si="0"/>
        <v>6302.7614186111014</v>
      </c>
      <c r="L11" s="132">
        <f t="shared" si="1"/>
        <v>6394.7744567816171</v>
      </c>
      <c r="M11" s="132">
        <f t="shared" si="2"/>
        <v>6451.2841810574464</v>
      </c>
      <c r="N11" s="137">
        <f>VLOOKUP(A11,NSAmaksa_2021!$A$4:$N$138,12,FALSE)</f>
        <v>89.1</v>
      </c>
      <c r="O11" s="137">
        <f>VLOOKUP(A11,NSAmaksa_2021!$A$4:$N$138,14,FALSE)</f>
        <v>41.58</v>
      </c>
      <c r="P11" s="132">
        <f t="shared" si="4"/>
        <v>1403940.1059956227</v>
      </c>
      <c r="Q11" s="132">
        <f t="shared" si="5"/>
        <v>1424436.0102481048</v>
      </c>
      <c r="R11" s="132">
        <f t="shared" si="6"/>
        <v>1437023.5513305461</v>
      </c>
      <c r="S11" s="132">
        <f t="shared" si="7"/>
        <v>1104432.8833832231</v>
      </c>
      <c r="T11" s="132">
        <f t="shared" si="8"/>
        <v>1120556.3280618424</v>
      </c>
      <c r="U11" s="132">
        <f t="shared" si="9"/>
        <v>1130458.5270466963</v>
      </c>
      <c r="V11" s="132">
        <f t="shared" si="15"/>
        <v>299507.22261239961</v>
      </c>
      <c r="W11" s="132">
        <f t="shared" si="16"/>
        <v>303879.68218626245</v>
      </c>
      <c r="X11" s="132">
        <f t="shared" si="17"/>
        <v>306565.02428384987</v>
      </c>
      <c r="Y11" s="132">
        <f t="shared" si="18"/>
        <v>909951.92908251192</v>
      </c>
      <c r="Z11" s="138">
        <f t="shared" si="19"/>
        <v>13.631824806669661</v>
      </c>
    </row>
    <row r="12" spans="1:29" outlineLevel="1" x14ac:dyDescent="0.3">
      <c r="A12" s="98" t="s">
        <v>7</v>
      </c>
      <c r="B12" s="132">
        <f>VLOOKUP(A12,Iedz_sk!$B$5:$Y$123,15,FALSE)</f>
        <v>26839</v>
      </c>
      <c r="C12" s="132">
        <f>VLOOKUP(A12,Iedz_sk!$B$5:$Y$123,16,FALSE)</f>
        <v>26264</v>
      </c>
      <c r="D12" s="132">
        <f>VLOOKUP(A12,Iedz_sk!$B$5:$Y$123,17,FALSE)</f>
        <v>25689</v>
      </c>
      <c r="E12" s="133">
        <f>VLOOKUP($A12,IKP!$Q$6:$AC$124,11,FALSE)</f>
        <v>301295.35124424868</v>
      </c>
      <c r="F12" s="133">
        <f>VLOOKUP($A12,IKP!$Q$6:$AC$124,12,FALSE)</f>
        <v>316661.41415770532</v>
      </c>
      <c r="G12" s="133">
        <f>VLOOKUP($A12,IKP!$Q$6:$AC$124,13,FALSE)</f>
        <v>328694.54789569811</v>
      </c>
      <c r="H12" s="132">
        <f>((-0.0000000006)*IKP!$J$5 + 0.0461)*E12</f>
        <v>8272.0536228624296</v>
      </c>
      <c r="I12" s="132">
        <f>((-0.0000000006)*IKP!$K$5 + 0.0461)*F12</f>
        <v>8392.8160530412806</v>
      </c>
      <c r="J12" s="132">
        <f>((-0.0000000006)*IKP!$L$5 + 0.0461)*G12</f>
        <v>8466.9821904493256</v>
      </c>
      <c r="K12" s="132">
        <f t="shared" si="0"/>
        <v>1985.2928694869831</v>
      </c>
      <c r="L12" s="132">
        <f t="shared" si="1"/>
        <v>2014.2758527299075</v>
      </c>
      <c r="M12" s="132">
        <f t="shared" si="2"/>
        <v>2032.075725707838</v>
      </c>
      <c r="N12" s="137">
        <f>VLOOKUP(A12,NSAmaksa_2021!$A$4:$N$138,12,FALSE)</f>
        <v>78.650000000000006</v>
      </c>
      <c r="O12" s="137">
        <f>VLOOKUP(A12,NSAmaksa_2021!$A$4:$N$138,14,FALSE)</f>
        <v>36.703333333333333</v>
      </c>
      <c r="P12" s="132">
        <f>H12*$AB$5*$N12</f>
        <v>390358.21046287811</v>
      </c>
      <c r="Q12" s="132">
        <f t="shared" si="5"/>
        <v>396056.98954301805</v>
      </c>
      <c r="R12" s="132">
        <f t="shared" si="6"/>
        <v>399556.8895673037</v>
      </c>
      <c r="S12" s="132">
        <f>H12*$AB$5*(1-$AB$6)*$N12+K12*$O12</f>
        <v>307081.79223079741</v>
      </c>
      <c r="T12" s="132">
        <f t="shared" si="8"/>
        <v>311564.83177384088</v>
      </c>
      <c r="U12" s="132">
        <f t="shared" si="9"/>
        <v>314318.08645961224</v>
      </c>
      <c r="V12" s="132">
        <f t="shared" si="15"/>
        <v>83276.418232080701</v>
      </c>
      <c r="W12" s="132">
        <f t="shared" si="16"/>
        <v>84492.157769177167</v>
      </c>
      <c r="X12" s="132">
        <f t="shared" si="17"/>
        <v>85238.803107691463</v>
      </c>
      <c r="Y12" s="132">
        <f t="shared" si="18"/>
        <v>253007.37910894933</v>
      </c>
      <c r="Z12" s="138">
        <f t="shared" si="19"/>
        <v>9.6379520127173866</v>
      </c>
    </row>
    <row r="13" spans="1:29" outlineLevel="1" x14ac:dyDescent="0.3">
      <c r="A13" s="98" t="s">
        <v>8</v>
      </c>
      <c r="B13" s="132">
        <f>VLOOKUP(A13,Iedz_sk!$B$5:$Y$123,15,FALSE)</f>
        <v>22971</v>
      </c>
      <c r="C13" s="132">
        <f>VLOOKUP(A13,Iedz_sk!$B$5:$Y$123,16,FALSE)</f>
        <v>22974</v>
      </c>
      <c r="D13" s="132">
        <f>VLOOKUP(A13,Iedz_sk!$B$5:$Y$123,17,FALSE)</f>
        <v>22977</v>
      </c>
      <c r="E13" s="133">
        <f>VLOOKUP($A13,IKP!$Q$6:$AC$124,11,FALSE)</f>
        <v>416243.04791054904</v>
      </c>
      <c r="F13" s="133">
        <f>VLOOKUP($A13,IKP!$Q$6:$AC$124,12,FALSE)</f>
        <v>437471.44335398701</v>
      </c>
      <c r="G13" s="133">
        <f>VLOOKUP($A13,IKP!$Q$6:$AC$124,13,FALSE)</f>
        <v>454095.3582014385</v>
      </c>
      <c r="H13" s="132">
        <f>((-0.0000000006)*IKP!$J$5 + 0.0461)*E13</f>
        <v>11427.938726039281</v>
      </c>
      <c r="I13" s="132">
        <f>((-0.0000000006)*IKP!$K$5 + 0.0461)*F13</f>
        <v>11594.773434252158</v>
      </c>
      <c r="J13" s="132">
        <f>((-0.0000000006)*IKP!$L$5 + 0.0461)*G13</f>
        <v>11697.234819597101</v>
      </c>
      <c r="K13" s="132">
        <f t="shared" si="0"/>
        <v>2742.7052942494274</v>
      </c>
      <c r="L13" s="132">
        <f t="shared" si="1"/>
        <v>2782.745624220518</v>
      </c>
      <c r="M13" s="132">
        <f t="shared" si="2"/>
        <v>2807.3363567033043</v>
      </c>
      <c r="N13" s="137">
        <f>VLOOKUP(A13,NSAmaksa_2021!$A$4:$N$138,12,FALSE)</f>
        <v>117.249</v>
      </c>
      <c r="O13" s="137">
        <f>VLOOKUP(A13,NSAmaksa_2021!$A$4:$N$138,14,FALSE)</f>
        <v>54.716199999999994</v>
      </c>
      <c r="P13" s="132">
        <f t="shared" si="4"/>
        <v>803948.63261362782</v>
      </c>
      <c r="Q13" s="132">
        <f t="shared" si="5"/>
        <v>815685.35423557868</v>
      </c>
      <c r="R13" s="132">
        <f t="shared" si="6"/>
        <v>822893.45121776417</v>
      </c>
      <c r="S13" s="132">
        <f t="shared" si="7"/>
        <v>632439.59098938713</v>
      </c>
      <c r="T13" s="132">
        <f t="shared" si="8"/>
        <v>641672.47866532183</v>
      </c>
      <c r="U13" s="132">
        <f t="shared" si="9"/>
        <v>647342.84829130792</v>
      </c>
      <c r="V13" s="132">
        <f>P13-S13</f>
        <v>171509.04162424069</v>
      </c>
      <c r="W13" s="132">
        <f t="shared" si="16"/>
        <v>174012.87557025685</v>
      </c>
      <c r="X13" s="132">
        <f t="shared" si="17"/>
        <v>175550.60292645625</v>
      </c>
      <c r="Y13" s="132">
        <f t="shared" si="18"/>
        <v>521072.52012095379</v>
      </c>
      <c r="Z13" s="138">
        <f t="shared" si="19"/>
        <v>22.680943600685953</v>
      </c>
    </row>
    <row r="14" spans="1:29" outlineLevel="1" x14ac:dyDescent="0.3">
      <c r="A14" s="98" t="s">
        <v>9</v>
      </c>
      <c r="B14" s="132">
        <f>VLOOKUP(A14,Iedz_sk!$B$5:$Y$123,15,FALSE)</f>
        <v>33372</v>
      </c>
      <c r="C14" s="132">
        <f>VLOOKUP(A14,Iedz_sk!$B$5:$Y$123,16,FALSE)</f>
        <v>32851</v>
      </c>
      <c r="D14" s="132">
        <f>VLOOKUP(A14,Iedz_sk!$B$5:$Y$123,17,FALSE)</f>
        <v>32329</v>
      </c>
      <c r="E14" s="133">
        <f>VLOOKUP($A14,IKP!$Q$6:$AC$124,11,FALSE)</f>
        <v>501127.82880555547</v>
      </c>
      <c r="F14" s="133">
        <f>VLOOKUP($A14,IKP!$Q$6:$AC$124,12,FALSE)</f>
        <v>526685.34807463875</v>
      </c>
      <c r="G14" s="133">
        <f>VLOOKUP($A14,IKP!$Q$6:$AC$124,13,FALSE)</f>
        <v>546699.391301475</v>
      </c>
      <c r="H14" s="132">
        <f>((-0.0000000006)*IKP!$J$5 + 0.0461)*E14</f>
        <v>13758.447499004709</v>
      </c>
      <c r="I14" s="132">
        <f>((-0.0000000006)*IKP!$K$5 + 0.0461)*F14</f>
        <v>13959.304943989817</v>
      </c>
      <c r="J14" s="132">
        <f>((-0.0000000006)*IKP!$L$5 + 0.0461)*G14</f>
        <v>14082.661362390239</v>
      </c>
      <c r="K14" s="132">
        <f t="shared" si="0"/>
        <v>3302.0273997611303</v>
      </c>
      <c r="L14" s="132">
        <f t="shared" si="1"/>
        <v>3350.2331865575566</v>
      </c>
      <c r="M14" s="132">
        <f t="shared" si="2"/>
        <v>3379.8387269736577</v>
      </c>
      <c r="N14" s="137">
        <f>VLOOKUP(A14,NSAmaksa_2021!$A$4:$N$138,12,FALSE)</f>
        <v>65.650000000000006</v>
      </c>
      <c r="O14" s="137">
        <f>VLOOKUP(A14,NSAmaksa_2021!$A$4:$N$138,14,FALSE)</f>
        <v>30.63666666666667</v>
      </c>
      <c r="P14" s="132">
        <f t="shared" si="4"/>
        <v>541945.24698579556</v>
      </c>
      <c r="Q14" s="132">
        <f t="shared" si="5"/>
        <v>549857.02174375893</v>
      </c>
      <c r="R14" s="132">
        <f t="shared" si="6"/>
        <v>554716.03106455156</v>
      </c>
      <c r="S14" s="132">
        <f t="shared" si="7"/>
        <v>426330.26096215914</v>
      </c>
      <c r="T14" s="132">
        <f t="shared" si="8"/>
        <v>432554.19043842365</v>
      </c>
      <c r="U14" s="132">
        <f t="shared" si="9"/>
        <v>436376.61110411386</v>
      </c>
      <c r="V14" s="132">
        <f t="shared" si="15"/>
        <v>115614.98602363642</v>
      </c>
      <c r="W14" s="132">
        <f t="shared" si="16"/>
        <v>117302.83130533528</v>
      </c>
      <c r="X14" s="132">
        <f t="shared" si="17"/>
        <v>118339.41996043769</v>
      </c>
      <c r="Y14" s="132">
        <f t="shared" si="18"/>
        <v>351257.23728940939</v>
      </c>
      <c r="Z14" s="138">
        <f t="shared" si="19"/>
        <v>10.695657226235742</v>
      </c>
    </row>
    <row r="15" spans="1:29" outlineLevel="1" x14ac:dyDescent="0.3">
      <c r="A15" s="98" t="s">
        <v>10</v>
      </c>
      <c r="B15" s="132">
        <f>VLOOKUP(A15,Iedz_sk!$B$5:$Y$123,15,FALSE)</f>
        <v>3042</v>
      </c>
      <c r="C15" s="132">
        <f>VLOOKUP(A15,Iedz_sk!$B$5:$Y$123,16,FALSE)</f>
        <v>2970</v>
      </c>
      <c r="D15" s="132">
        <f>VLOOKUP(A15,Iedz_sk!$B$5:$Y$123,17,FALSE)</f>
        <v>2897</v>
      </c>
      <c r="E15" s="133">
        <f>VLOOKUP($A15,IKP!$Q$6:$AC$124,11,FALSE)</f>
        <v>20003.89150818995</v>
      </c>
      <c r="F15" s="133">
        <f>VLOOKUP($A15,IKP!$Q$6:$AC$124,12,FALSE)</f>
        <v>21008.52163844333</v>
      </c>
      <c r="G15" s="133">
        <f>VLOOKUP($A15,IKP!$Q$6:$AC$124,13,FALSE)</f>
        <v>21782.389328454396</v>
      </c>
      <c r="H15" s="132">
        <f>((-0.0000000006)*IKP!$J$5 + 0.0461)*E15</f>
        <v>549.20616112502444</v>
      </c>
      <c r="I15" s="132">
        <f>((-0.0000000006)*IKP!$K$5 + 0.0461)*F15</f>
        <v>556.81131257116215</v>
      </c>
      <c r="J15" s="132">
        <f>((-0.0000000006)*IKP!$L$5 + 0.0461)*G15</f>
        <v>561.10180010646479</v>
      </c>
      <c r="K15" s="132">
        <f t="shared" si="0"/>
        <v>131.80947867000586</v>
      </c>
      <c r="L15" s="132">
        <f t="shared" si="1"/>
        <v>133.63471501707892</v>
      </c>
      <c r="M15" s="132">
        <f t="shared" si="2"/>
        <v>134.66443202555155</v>
      </c>
      <c r="N15" s="137">
        <f>VLOOKUP(A15,NSAmaksa_2021!$A$4:$N$138,12,FALSE)</f>
        <v>120.87899999999999</v>
      </c>
      <c r="O15" s="137">
        <f>VLOOKUP(A15,NSAmaksa_2021!$A$4:$N$138,14,FALSE)</f>
        <v>56.410199999999996</v>
      </c>
      <c r="P15" s="132">
        <f t="shared" si="4"/>
        <v>39832.494930379093</v>
      </c>
      <c r="Q15" s="132">
        <f t="shared" si="5"/>
        <v>40384.0767913737</v>
      </c>
      <c r="R15" s="132">
        <f t="shared" si="6"/>
        <v>40695.254697041608</v>
      </c>
      <c r="S15" s="132">
        <f t="shared" si="7"/>
        <v>31334.896011898221</v>
      </c>
      <c r="T15" s="132">
        <f t="shared" si="8"/>
        <v>31768.807075880643</v>
      </c>
      <c r="U15" s="132">
        <f t="shared" si="9"/>
        <v>32013.600361672732</v>
      </c>
      <c r="V15" s="133">
        <f t="shared" si="15"/>
        <v>8497.5989184808714</v>
      </c>
      <c r="W15" s="133">
        <f t="shared" si="16"/>
        <v>8615.2697154930574</v>
      </c>
      <c r="X15" s="133">
        <f t="shared" si="17"/>
        <v>8681.6543353688758</v>
      </c>
      <c r="Y15" s="133">
        <f t="shared" si="18"/>
        <v>25794.522969342805</v>
      </c>
      <c r="Z15" s="139">
        <f t="shared" si="19"/>
        <v>8.6909632562853751</v>
      </c>
    </row>
    <row r="16" spans="1:29" outlineLevel="1" x14ac:dyDescent="0.3">
      <c r="A16" s="98" t="s">
        <v>11</v>
      </c>
      <c r="B16" s="132">
        <f>VLOOKUP(A16,Iedz_sk!$B$5:$Y$123,15,FALSE)</f>
        <v>8017</v>
      </c>
      <c r="C16" s="132">
        <f>VLOOKUP(A16,Iedz_sk!$B$5:$Y$123,16,FALSE)</f>
        <v>7873</v>
      </c>
      <c r="D16" s="132">
        <f>VLOOKUP(A16,Iedz_sk!$B$5:$Y$123,17,FALSE)</f>
        <v>7729</v>
      </c>
      <c r="E16" s="133">
        <f>VLOOKUP($A16,IKP!$Q$6:$AC$124,11,FALSE)</f>
        <v>68418.691922067432</v>
      </c>
      <c r="F16" s="133">
        <f>VLOOKUP($A16,IKP!$Q$6:$AC$124,12,FALSE)</f>
        <v>71784.120049151752</v>
      </c>
      <c r="G16" s="133">
        <f>VLOOKUP($A16,IKP!$Q$6:$AC$124,13,FALSE)</f>
        <v>74379.467362873969</v>
      </c>
      <c r="H16" s="132">
        <f>((-0.0000000006)*IKP!$J$5 + 0.0461)*E16</f>
        <v>1878.4328601427428</v>
      </c>
      <c r="I16" s="132">
        <f>((-0.0000000006)*IKP!$K$5 + 0.0461)*F16</f>
        <v>1902.5712896043524</v>
      </c>
      <c r="J16" s="132">
        <f>((-0.0000000006)*IKP!$L$5 + 0.0461)*G16</f>
        <v>1915.9722287100433</v>
      </c>
      <c r="K16" s="132">
        <f t="shared" si="0"/>
        <v>450.82388643425833</v>
      </c>
      <c r="L16" s="132">
        <f t="shared" si="1"/>
        <v>456.61710950504454</v>
      </c>
      <c r="M16" s="132">
        <f t="shared" si="2"/>
        <v>459.83333489041041</v>
      </c>
      <c r="N16" s="137">
        <f>VLOOKUP(A16,NSAmaksa_2021!$A$4:$N$138,12,FALSE)</f>
        <v>111.52500000000001</v>
      </c>
      <c r="O16" s="137">
        <f>VLOOKUP(A16,NSAmaksa_2021!$A$4:$N$138,14,FALSE)</f>
        <v>52.045000000000002</v>
      </c>
      <c r="P16" s="132">
        <f t="shared" si="4"/>
        <v>125695.33483645164</v>
      </c>
      <c r="Q16" s="132">
        <f t="shared" si="5"/>
        <v>127310.55784387524</v>
      </c>
      <c r="R16" s="132">
        <f t="shared" si="6"/>
        <v>128207.28168413254</v>
      </c>
      <c r="S16" s="132">
        <f t="shared" si="7"/>
        <v>98880.330071341974</v>
      </c>
      <c r="T16" s="132">
        <f t="shared" si="8"/>
        <v>100150.97217051519</v>
      </c>
      <c r="U16" s="132">
        <f t="shared" si="9"/>
        <v>100856.39492485093</v>
      </c>
      <c r="V16" s="132">
        <f t="shared" si="15"/>
        <v>26815.004765109668</v>
      </c>
      <c r="W16" s="132">
        <f t="shared" si="16"/>
        <v>27159.585673360052</v>
      </c>
      <c r="X16" s="132">
        <f t="shared" si="17"/>
        <v>27350.88675928161</v>
      </c>
      <c r="Y16" s="132">
        <f t="shared" si="18"/>
        <v>81325.47719775133</v>
      </c>
      <c r="Z16" s="138">
        <f t="shared" si="19"/>
        <v>10.333215867453662</v>
      </c>
    </row>
    <row r="17" spans="1:26" outlineLevel="1" x14ac:dyDescent="0.3">
      <c r="A17" s="98" t="s">
        <v>12</v>
      </c>
      <c r="B17" s="132">
        <f>VLOOKUP(A17,Iedz_sk!$B$5:$Y$123,15,FALSE)</f>
        <v>8083</v>
      </c>
      <c r="C17" s="132">
        <f>VLOOKUP(A17,Iedz_sk!$B$5:$Y$123,16,FALSE)</f>
        <v>7946</v>
      </c>
      <c r="D17" s="132">
        <f>VLOOKUP(A17,Iedz_sk!$B$5:$Y$123,17,FALSE)</f>
        <v>7809</v>
      </c>
      <c r="E17" s="133">
        <f>VLOOKUP($A17,IKP!$Q$6:$AC$124,11,FALSE)</f>
        <v>77444.56019057885</v>
      </c>
      <c r="F17" s="133">
        <f>VLOOKUP($A17,IKP!$Q$6:$AC$124,12,FALSE)</f>
        <v>81467.568075940566</v>
      </c>
      <c r="G17" s="133">
        <f>VLOOKUP($A17,IKP!$Q$6:$AC$124,13,FALSE)</f>
        <v>84641.621598007841</v>
      </c>
      <c r="H17" s="132">
        <f>((-0.0000000006)*IKP!$J$5 + 0.0461)*E17</f>
        <v>2126.2377665300733</v>
      </c>
      <c r="I17" s="132">
        <f>((-0.0000000006)*IKP!$K$5 + 0.0461)*F17</f>
        <v>2159.2220667891875</v>
      </c>
      <c r="J17" s="132">
        <f>((-0.0000000006)*IKP!$L$5 + 0.0461)*G17</f>
        <v>2180.3194097046439</v>
      </c>
      <c r="K17" s="132">
        <f t="shared" si="0"/>
        <v>510.29706396721758</v>
      </c>
      <c r="L17" s="132">
        <f t="shared" si="1"/>
        <v>518.213296029405</v>
      </c>
      <c r="M17" s="132">
        <f t="shared" si="2"/>
        <v>523.27665832911453</v>
      </c>
      <c r="N17" s="137">
        <f>VLOOKUP(A17,NSAmaksa_2021!$A$4:$N$138,12,FALSE)</f>
        <v>92.95</v>
      </c>
      <c r="O17" s="137">
        <f>VLOOKUP(A17,NSAmaksa_2021!$A$4:$N$138,14,FALSE)</f>
        <v>43.376666666666665</v>
      </c>
      <c r="P17" s="132">
        <f t="shared" si="4"/>
        <v>118580.28023938219</v>
      </c>
      <c r="Q17" s="132">
        <f t="shared" si="5"/>
        <v>120419.81466483299</v>
      </c>
      <c r="R17" s="132">
        <f t="shared" si="6"/>
        <v>121596.41347922799</v>
      </c>
      <c r="S17" s="132">
        <f t="shared" si="7"/>
        <v>93283.153788313997</v>
      </c>
      <c r="T17" s="132">
        <f t="shared" si="8"/>
        <v>94730.254203001939</v>
      </c>
      <c r="U17" s="132">
        <f t="shared" si="9"/>
        <v>95655.845270326012</v>
      </c>
      <c r="V17" s="132">
        <f t="shared" si="15"/>
        <v>25297.126451068194</v>
      </c>
      <c r="W17" s="132">
        <f t="shared" si="16"/>
        <v>25689.560461831046</v>
      </c>
      <c r="X17" s="132">
        <f t="shared" si="17"/>
        <v>25940.568208901983</v>
      </c>
      <c r="Y17" s="132">
        <f t="shared" si="18"/>
        <v>76927.255121801223</v>
      </c>
      <c r="Z17" s="138">
        <f t="shared" si="19"/>
        <v>9.6845693373488348</v>
      </c>
    </row>
    <row r="18" spans="1:26" outlineLevel="1" x14ac:dyDescent="0.3">
      <c r="A18" s="98" t="s">
        <v>13</v>
      </c>
      <c r="B18" s="132">
        <f>VLOOKUP(A18,Iedz_sk!$B$5:$Y$123,15,FALSE)</f>
        <v>2546</v>
      </c>
      <c r="C18" s="132">
        <f>VLOOKUP(A18,Iedz_sk!$B$5:$Y$123,16,FALSE)</f>
        <v>2478</v>
      </c>
      <c r="D18" s="132">
        <f>VLOOKUP(A18,Iedz_sk!$B$5:$Y$123,17,FALSE)</f>
        <v>2410</v>
      </c>
      <c r="E18" s="133">
        <f>VLOOKUP($A18,IKP!$Q$6:$AC$124,11,FALSE)</f>
        <v>21728.076541547172</v>
      </c>
      <c r="F18" s="133">
        <f>VLOOKUP($A18,IKP!$Q$6:$AC$124,12,FALSE)</f>
        <v>22593.807885405568</v>
      </c>
      <c r="G18" s="133">
        <f>VLOOKUP($A18,IKP!$Q$6:$AC$124,13,FALSE)</f>
        <v>23192.459094905713</v>
      </c>
      <c r="H18" s="132">
        <f>((-0.0000000006)*IKP!$J$5 + 0.0461)*E18</f>
        <v>596.54360258493489</v>
      </c>
      <c r="I18" s="132">
        <f>((-0.0000000006)*IKP!$K$5 + 0.0461)*F18</f>
        <v>598.82784905875587</v>
      </c>
      <c r="J18" s="132">
        <f>((-0.0000000006)*IKP!$L$5 + 0.0461)*G18</f>
        <v>597.42438493869895</v>
      </c>
      <c r="K18" s="132">
        <f t="shared" si="0"/>
        <v>143.17046462038437</v>
      </c>
      <c r="L18" s="132">
        <f t="shared" si="1"/>
        <v>143.71868377410141</v>
      </c>
      <c r="M18" s="132">
        <f t="shared" si="2"/>
        <v>143.38185238528774</v>
      </c>
      <c r="N18" s="137">
        <f>VLOOKUP(A18,NSAmaksa_2021!$A$4:$N$138,12,FALSE)</f>
        <v>101.18674999999999</v>
      </c>
      <c r="O18" s="137">
        <f>VLOOKUP(A18,NSAmaksa_2021!$A$4:$N$138,14,FALSE)</f>
        <v>47.220483333333334</v>
      </c>
      <c r="P18" s="132">
        <f t="shared" si="4"/>
        <v>36217.38502731669</v>
      </c>
      <c r="Q18" s="132">
        <f t="shared" si="5"/>
        <v>36356.066313447634</v>
      </c>
      <c r="R18" s="132">
        <f t="shared" si="6"/>
        <v>36270.859129617529</v>
      </c>
      <c r="S18" s="132">
        <f t="shared" si="7"/>
        <v>28491.009554822464</v>
      </c>
      <c r="T18" s="132">
        <f t="shared" si="8"/>
        <v>28600.105499912141</v>
      </c>
      <c r="U18" s="132">
        <f t="shared" si="9"/>
        <v>28533.075848632463</v>
      </c>
      <c r="V18" s="132">
        <f t="shared" si="15"/>
        <v>7726.3754724942264</v>
      </c>
      <c r="W18" s="132">
        <f t="shared" si="16"/>
        <v>7755.9608135354938</v>
      </c>
      <c r="X18" s="132">
        <f t="shared" si="17"/>
        <v>7737.7832809850661</v>
      </c>
      <c r="Y18" s="132">
        <f t="shared" si="18"/>
        <v>23220.119567014786</v>
      </c>
      <c r="Z18" s="138">
        <f t="shared" si="19"/>
        <v>9.3753376433630695</v>
      </c>
    </row>
    <row r="19" spans="1:26" outlineLevel="1" x14ac:dyDescent="0.3">
      <c r="A19" s="98" t="s">
        <v>14</v>
      </c>
      <c r="B19" s="132">
        <f>VLOOKUP(A19,Iedz_sk!$B$5:$Y$123,15,FALSE)</f>
        <v>4520</v>
      </c>
      <c r="C19" s="132">
        <f>VLOOKUP(A19,Iedz_sk!$B$5:$Y$123,16,FALSE)</f>
        <v>4432</v>
      </c>
      <c r="D19" s="132">
        <f>VLOOKUP(A19,Iedz_sk!$B$5:$Y$123,17,FALSE)</f>
        <v>4345</v>
      </c>
      <c r="E19" s="133">
        <f>VLOOKUP($A19,IKP!$Q$6:$AC$124,11,FALSE)</f>
        <v>58638.501655615051</v>
      </c>
      <c r="F19" s="133">
        <f>VLOOKUP($A19,IKP!$Q$6:$AC$124,12,FALSE)</f>
        <v>60616.181628571212</v>
      </c>
      <c r="G19" s="133">
        <f>VLOOKUP($A19,IKP!$Q$6:$AC$124,13,FALSE)</f>
        <v>61875.937753305872</v>
      </c>
      <c r="H19" s="132">
        <f>((-0.0000000006)*IKP!$J$5 + 0.0461)*E19</f>
        <v>1609.9180689526627</v>
      </c>
      <c r="I19" s="132">
        <f>((-0.0000000006)*IKP!$K$5 + 0.0461)*F19</f>
        <v>1606.5754762055506</v>
      </c>
      <c r="J19" s="132">
        <f>((-0.0000000006)*IKP!$L$5 + 0.0461)*G19</f>
        <v>1593.8885093428366</v>
      </c>
      <c r="K19" s="132">
        <f t="shared" si="0"/>
        <v>386.38033654863904</v>
      </c>
      <c r="L19" s="132">
        <f t="shared" si="1"/>
        <v>385.57811428933218</v>
      </c>
      <c r="M19" s="132">
        <f t="shared" si="2"/>
        <v>382.53324224228083</v>
      </c>
      <c r="N19" s="137">
        <f>VLOOKUP(A19,NSAmaksa_2021!$A$4:$N$138,12,FALSE)</f>
        <v>123.84350000000001</v>
      </c>
      <c r="O19" s="137">
        <f>VLOOKUP(A19,NSAmaksa_2021!$A$4:$N$138,14,FALSE)</f>
        <v>57.793633333333325</v>
      </c>
      <c r="P19" s="132">
        <f t="shared" si="4"/>
        <v>119626.73302340345</v>
      </c>
      <c r="Q19" s="132">
        <f t="shared" si="5"/>
        <v>119378.35799247725</v>
      </c>
      <c r="R19" s="132">
        <f t="shared" si="6"/>
        <v>118435.63896407976</v>
      </c>
      <c r="S19" s="132">
        <f t="shared" si="7"/>
        <v>94106.363311744033</v>
      </c>
      <c r="T19" s="132">
        <f t="shared" si="8"/>
        <v>93910.974954082107</v>
      </c>
      <c r="U19" s="132">
        <f t="shared" si="9"/>
        <v>93169.369318409401</v>
      </c>
      <c r="V19" s="132">
        <f t="shared" si="15"/>
        <v>25520.369711659412</v>
      </c>
      <c r="W19" s="132">
        <f t="shared" si="16"/>
        <v>25467.383038395143</v>
      </c>
      <c r="X19" s="132">
        <f t="shared" si="17"/>
        <v>25266.269645670356</v>
      </c>
      <c r="Y19" s="132">
        <f t="shared" si="18"/>
        <v>76254.022395724911</v>
      </c>
      <c r="Z19" s="138">
        <f t="shared" si="19"/>
        <v>17.207371961951342</v>
      </c>
    </row>
    <row r="20" spans="1:26" outlineLevel="1" x14ac:dyDescent="0.3">
      <c r="A20" s="98" t="s">
        <v>15</v>
      </c>
      <c r="B20" s="132">
        <f>VLOOKUP(A20,Iedz_sk!$B$5:$Y$123,15,FALSE)</f>
        <v>1303</v>
      </c>
      <c r="C20" s="132">
        <f>VLOOKUP(A20,Iedz_sk!$B$5:$Y$123,16,FALSE)</f>
        <v>1278</v>
      </c>
      <c r="D20" s="132">
        <f>VLOOKUP(A20,Iedz_sk!$B$5:$Y$123,17,FALSE)</f>
        <v>1254</v>
      </c>
      <c r="E20" s="133">
        <f>VLOOKUP($A20,IKP!$Q$6:$AC$124,11,FALSE)</f>
        <v>12484.258558496133</v>
      </c>
      <c r="F20" s="133">
        <f>VLOOKUP($A20,IKP!$Q$6:$AC$124,12,FALSE)</f>
        <v>13102.888497489561</v>
      </c>
      <c r="G20" s="133">
        <f>VLOOKUP($A20,IKP!$Q$6:$AC$124,13,FALSE)</f>
        <v>13592.085220118046</v>
      </c>
      <c r="H20" s="132">
        <f>((-0.0000000006)*IKP!$J$5 + 0.0461)*E20</f>
        <v>342.75489419629906</v>
      </c>
      <c r="I20" s="132">
        <f>((-0.0000000006)*IKP!$K$5 + 0.0461)*F20</f>
        <v>347.27986425328243</v>
      </c>
      <c r="J20" s="132">
        <f>((-0.0000000006)*IKP!$L$5 + 0.0461)*G20</f>
        <v>350.12428477008882</v>
      </c>
      <c r="K20" s="132">
        <f t="shared" si="0"/>
        <v>82.261174607111769</v>
      </c>
      <c r="L20" s="132">
        <f t="shared" si="1"/>
        <v>83.347167420787784</v>
      </c>
      <c r="M20" s="132">
        <f t="shared" si="2"/>
        <v>84.029828344821311</v>
      </c>
      <c r="N20" s="137">
        <f>VLOOKUP(A20,NSAmaksa_2021!$A$4:$N$138,12,FALSE)</f>
        <v>75.099999999999994</v>
      </c>
      <c r="O20" s="137">
        <f>VLOOKUP(A20,NSAmaksa_2021!$A$4:$N$138,14,FALSE)</f>
        <v>35.046666666666667</v>
      </c>
      <c r="P20" s="132">
        <f t="shared" si="4"/>
        <v>15444.535532485235</v>
      </c>
      <c r="Q20" s="132">
        <f t="shared" si="5"/>
        <v>15648.430683252904</v>
      </c>
      <c r="R20" s="132">
        <f t="shared" si="6"/>
        <v>15776.600271740201</v>
      </c>
      <c r="S20" s="132">
        <f t="shared" si="7"/>
        <v>12149.701285555051</v>
      </c>
      <c r="T20" s="132">
        <f t="shared" si="8"/>
        <v>12310.098804158952</v>
      </c>
      <c r="U20" s="132">
        <f t="shared" si="9"/>
        <v>12410.92554710229</v>
      </c>
      <c r="V20" s="132">
        <f t="shared" si="15"/>
        <v>3294.8342469301842</v>
      </c>
      <c r="W20" s="132">
        <f t="shared" si="16"/>
        <v>3338.331879093952</v>
      </c>
      <c r="X20" s="132">
        <f t="shared" si="17"/>
        <v>3365.6747246379109</v>
      </c>
      <c r="Y20" s="132">
        <f t="shared" si="18"/>
        <v>9998.8408506620472</v>
      </c>
      <c r="Z20" s="138">
        <f t="shared" si="19"/>
        <v>7.8247569363625331</v>
      </c>
    </row>
    <row r="21" spans="1:26" outlineLevel="1" x14ac:dyDescent="0.3">
      <c r="A21" s="98" t="s">
        <v>16</v>
      </c>
      <c r="B21" s="132">
        <f>VLOOKUP(A21,Iedz_sk!$B$5:$Y$123,15,FALSE)</f>
        <v>13861</v>
      </c>
      <c r="C21" s="132">
        <f>VLOOKUP(A21,Iedz_sk!$B$5:$Y$123,16,FALSE)</f>
        <v>13430</v>
      </c>
      <c r="D21" s="132">
        <f>VLOOKUP(A21,Iedz_sk!$B$5:$Y$123,17,FALSE)</f>
        <v>12998</v>
      </c>
      <c r="E21" s="133">
        <f>VLOOKUP($A21,IKP!$Q$6:$AC$124,11,FALSE)</f>
        <v>130893.41369186182</v>
      </c>
      <c r="F21" s="133">
        <f>VLOOKUP($A21,IKP!$Q$6:$AC$124,12,FALSE)</f>
        <v>136451.99055149566</v>
      </c>
      <c r="G21" s="133">
        <f>VLOOKUP($A21,IKP!$Q$6:$AC$124,13,FALSE)</f>
        <v>140408.77439595995</v>
      </c>
      <c r="H21" s="132">
        <f>((-0.0000000006)*IKP!$J$5 + 0.0461)*E21</f>
        <v>3593.6742218795339</v>
      </c>
      <c r="I21" s="132">
        <f>((-0.0000000006)*IKP!$K$5 + 0.0461)*F21</f>
        <v>3616.5330083433641</v>
      </c>
      <c r="J21" s="132">
        <f>((-0.0000000006)*IKP!$L$5 + 0.0461)*G21</f>
        <v>3616.8491379134598</v>
      </c>
      <c r="K21" s="132">
        <f t="shared" si="0"/>
        <v>862.48181325108817</v>
      </c>
      <c r="L21" s="132">
        <f t="shared" si="1"/>
        <v>867.96792200240748</v>
      </c>
      <c r="M21" s="132">
        <f t="shared" si="2"/>
        <v>868.04379309923036</v>
      </c>
      <c r="N21" s="137">
        <f>VLOOKUP(A21,NSAmaksa_2021!$A$4:$N$138,12,FALSE)</f>
        <v>94.55</v>
      </c>
      <c r="O21" s="137">
        <f>VLOOKUP(A21,NSAmaksa_2021!$A$4:$N$138,14,FALSE)</f>
        <v>44.123333333333335</v>
      </c>
      <c r="P21" s="132">
        <f t="shared" si="4"/>
        <v>203869.13860722596</v>
      </c>
      <c r="Q21" s="132">
        <f t="shared" si="5"/>
        <v>205165.91756331906</v>
      </c>
      <c r="R21" s="132">
        <f t="shared" si="6"/>
        <v>205183.85159383054</v>
      </c>
      <c r="S21" s="132">
        <f t="shared" si="7"/>
        <v>160377.05570435108</v>
      </c>
      <c r="T21" s="132">
        <f t="shared" si="8"/>
        <v>161397.18848314433</v>
      </c>
      <c r="U21" s="132">
        <f t="shared" si="9"/>
        <v>161411.2965871467</v>
      </c>
      <c r="V21" s="132">
        <f t="shared" si="15"/>
        <v>43492.082902874885</v>
      </c>
      <c r="W21" s="132">
        <f t="shared" si="16"/>
        <v>43768.729080174729</v>
      </c>
      <c r="X21" s="132">
        <f t="shared" si="17"/>
        <v>43772.555006683833</v>
      </c>
      <c r="Y21" s="132">
        <f t="shared" si="18"/>
        <v>131033.36698973345</v>
      </c>
      <c r="Z21" s="138">
        <f t="shared" si="19"/>
        <v>9.7643949830923127</v>
      </c>
    </row>
    <row r="22" spans="1:26" outlineLevel="1" x14ac:dyDescent="0.3">
      <c r="A22" s="98" t="s">
        <v>17</v>
      </c>
      <c r="B22" s="132">
        <f>VLOOKUP(A22,Iedz_sk!$B$5:$Y$123,15,FALSE)</f>
        <v>5042</v>
      </c>
      <c r="C22" s="132">
        <f>VLOOKUP(A22,Iedz_sk!$B$5:$Y$123,16,FALSE)</f>
        <v>4900</v>
      </c>
      <c r="D22" s="132">
        <f>VLOOKUP(A22,Iedz_sk!$B$5:$Y$123,17,FALSE)</f>
        <v>4758</v>
      </c>
      <c r="E22" s="133">
        <f>VLOOKUP($A22,IKP!$Q$6:$AC$124,11,FALSE)</f>
        <v>47613.0576317991</v>
      </c>
      <c r="F22" s="133">
        <f>VLOOKUP($A22,IKP!$Q$6:$AC$124,12,FALSE)</f>
        <v>49785.164088036385</v>
      </c>
      <c r="G22" s="133">
        <f>VLOOKUP($A22,IKP!$Q$6:$AC$124,13,FALSE)</f>
        <v>51397.518739496656</v>
      </c>
      <c r="H22" s="132">
        <f>((-0.0000000006)*IKP!$J$5 + 0.0461)*E22</f>
        <v>1307.2148781990197</v>
      </c>
      <c r="I22" s="132">
        <f>((-0.0000000006)*IKP!$K$5 + 0.0461)*F22</f>
        <v>1319.5094371468713</v>
      </c>
      <c r="J22" s="132">
        <f>((-0.0000000006)*IKP!$L$5 + 0.0461)*G22</f>
        <v>1323.9704722412866</v>
      </c>
      <c r="K22" s="132">
        <f t="shared" si="0"/>
        <v>313.73157076776471</v>
      </c>
      <c r="L22" s="132">
        <f t="shared" si="1"/>
        <v>316.68226491524911</v>
      </c>
      <c r="M22" s="132">
        <f t="shared" si="2"/>
        <v>317.75291333790881</v>
      </c>
      <c r="N22" s="137">
        <f>VLOOKUP(A22,NSAmaksa_2021!$A$4:$N$138,12,FALSE)</f>
        <v>119.12449999999998</v>
      </c>
      <c r="O22" s="137">
        <f>VLOOKUP(A22,NSAmaksa_2021!$A$4:$N$138,14,FALSE)</f>
        <v>55.591433333333335</v>
      </c>
      <c r="P22" s="132">
        <f t="shared" si="4"/>
        <v>93432.791254811469</v>
      </c>
      <c r="Q22" s="132">
        <f t="shared" si="5"/>
        <v>94311.541167241463</v>
      </c>
      <c r="R22" s="132">
        <f t="shared" si="6"/>
        <v>94630.392312304277</v>
      </c>
      <c r="S22" s="132">
        <f t="shared" si="7"/>
        <v>73500.462453785018</v>
      </c>
      <c r="T22" s="132">
        <f t="shared" si="8"/>
        <v>74191.745718229955</v>
      </c>
      <c r="U22" s="132">
        <f t="shared" si="9"/>
        <v>74442.57528567937</v>
      </c>
      <c r="V22" s="132">
        <f t="shared" si="15"/>
        <v>19932.328801026451</v>
      </c>
      <c r="W22" s="132">
        <f t="shared" si="16"/>
        <v>20119.795449011508</v>
      </c>
      <c r="X22" s="132">
        <f t="shared" si="17"/>
        <v>20187.817026624907</v>
      </c>
      <c r="Y22" s="132">
        <f t="shared" si="18"/>
        <v>60239.941276662867</v>
      </c>
      <c r="Z22" s="138">
        <f t="shared" si="19"/>
        <v>12.302259864234586</v>
      </c>
    </row>
    <row r="23" spans="1:26" outlineLevel="1" x14ac:dyDescent="0.3">
      <c r="A23" s="98" t="s">
        <v>18</v>
      </c>
      <c r="B23" s="132">
        <f>VLOOKUP(A23,Iedz_sk!$B$5:$Y$123,15,FALSE)</f>
        <v>3205</v>
      </c>
      <c r="C23" s="132">
        <f>VLOOKUP(A23,Iedz_sk!$B$5:$Y$123,16,FALSE)</f>
        <v>3124</v>
      </c>
      <c r="D23" s="132">
        <f>VLOOKUP(A23,Iedz_sk!$B$5:$Y$123,17,FALSE)</f>
        <v>3043</v>
      </c>
      <c r="E23" s="133">
        <f>VLOOKUP($A23,IKP!$Q$6:$AC$124,11,FALSE)</f>
        <v>30265.737744925846</v>
      </c>
      <c r="F23" s="133">
        <f>VLOOKUP($A23,IKP!$Q$6:$AC$124,12,FALSE)</f>
        <v>31740.582165515443</v>
      </c>
      <c r="G23" s="133">
        <f>VLOOKUP($A23,IKP!$Q$6:$AC$124,13,FALSE)</f>
        <v>32871.511039152654</v>
      </c>
      <c r="H23" s="132">
        <f>((-0.0000000006)*IKP!$J$5 + 0.0461)*E23</f>
        <v>830.94480060052717</v>
      </c>
      <c r="I23" s="132">
        <f>((-0.0000000006)*IKP!$K$5 + 0.0461)*F23</f>
        <v>841.25458809118902</v>
      </c>
      <c r="J23" s="132">
        <f>((-0.0000000006)*IKP!$L$5 + 0.0461)*G23</f>
        <v>846.75118684956612</v>
      </c>
      <c r="K23" s="132">
        <f t="shared" si="0"/>
        <v>199.42675214412651</v>
      </c>
      <c r="L23" s="132">
        <f t="shared" si="1"/>
        <v>201.90110114188539</v>
      </c>
      <c r="M23" s="132">
        <f t="shared" si="2"/>
        <v>203.22028484389588</v>
      </c>
      <c r="N23" s="137">
        <f>VLOOKUP(A23,NSAmaksa_2021!$A$4:$N$138,12,FALSE)</f>
        <v>121.726</v>
      </c>
      <c r="O23" s="137">
        <f>VLOOKUP(A23,NSAmaksa_2021!$A$4:$N$138,14,FALSE)</f>
        <v>56.805466666666675</v>
      </c>
      <c r="P23" s="132">
        <f t="shared" si="4"/>
        <v>60688.552078739864</v>
      </c>
      <c r="Q23" s="132">
        <f t="shared" si="5"/>
        <v>61441.533593992841</v>
      </c>
      <c r="R23" s="132">
        <f t="shared" si="6"/>
        <v>61842.980982270172</v>
      </c>
      <c r="S23" s="132">
        <f t="shared" si="7"/>
        <v>47741.660968608689</v>
      </c>
      <c r="T23" s="132">
        <f t="shared" si="8"/>
        <v>48334.006427274369</v>
      </c>
      <c r="U23" s="132">
        <f t="shared" si="9"/>
        <v>48649.81170605254</v>
      </c>
      <c r="V23" s="132">
        <f t="shared" si="15"/>
        <v>12946.891110131175</v>
      </c>
      <c r="W23" s="132">
        <f t="shared" si="16"/>
        <v>13107.527166718472</v>
      </c>
      <c r="X23" s="132">
        <f t="shared" si="17"/>
        <v>13193.169276217632</v>
      </c>
      <c r="Y23" s="132">
        <f t="shared" si="18"/>
        <v>39247.587553067278</v>
      </c>
      <c r="Z23" s="138">
        <f t="shared" si="19"/>
        <v>12.570922725667849</v>
      </c>
    </row>
    <row r="24" spans="1:26" outlineLevel="1" x14ac:dyDescent="0.3">
      <c r="A24" s="98" t="s">
        <v>19</v>
      </c>
      <c r="B24" s="132">
        <f>VLOOKUP(A24,Iedz_sk!$B$5:$Y$123,15,FALSE)</f>
        <v>6025</v>
      </c>
      <c r="C24" s="132">
        <f>VLOOKUP(A24,Iedz_sk!$B$5:$Y$123,16,FALSE)</f>
        <v>5878</v>
      </c>
      <c r="D24" s="132">
        <f>VLOOKUP(A24,Iedz_sk!$B$5:$Y$123,17,FALSE)</f>
        <v>5732</v>
      </c>
      <c r="E24" s="133">
        <f>VLOOKUP($A24,IKP!$Q$6:$AC$124,11,FALSE)</f>
        <v>51418.562907628322</v>
      </c>
      <c r="F24" s="133">
        <f>VLOOKUP($A24,IKP!$Q$6:$AC$124,12,FALSE)</f>
        <v>53594.189971918451</v>
      </c>
      <c r="G24" s="133">
        <f>VLOOKUP($A24,IKP!$Q$6:$AC$124,13,FALSE)</f>
        <v>55161.48362323633</v>
      </c>
      <c r="H24" s="132">
        <f>((-0.0000000006)*IKP!$J$5 + 0.0461)*E24</f>
        <v>1411.694896140704</v>
      </c>
      <c r="I24" s="132">
        <f>((-0.0000000006)*IKP!$K$5 + 0.0461)*F24</f>
        <v>1420.4641229892522</v>
      </c>
      <c r="J24" s="132">
        <f>((-0.0000000006)*IKP!$L$5 + 0.0461)*G24</f>
        <v>1420.9280391985985</v>
      </c>
      <c r="K24" s="132">
        <f t="shared" si="0"/>
        <v>338.80677507376896</v>
      </c>
      <c r="L24" s="132">
        <f t="shared" si="1"/>
        <v>340.9113895174205</v>
      </c>
      <c r="M24" s="132">
        <f t="shared" si="2"/>
        <v>341.02272940766363</v>
      </c>
      <c r="N24" s="137">
        <f>VLOOKUP(A24,NSAmaksa_2021!$A$4:$N$138,12,FALSE)</f>
        <v>90.8</v>
      </c>
      <c r="O24" s="137">
        <f>VLOOKUP(A24,NSAmaksa_2021!$A$4:$N$138,14,FALSE)</f>
        <v>42.373333333333335</v>
      </c>
      <c r="P24" s="132">
        <f t="shared" si="4"/>
        <v>76909.137941745546</v>
      </c>
      <c r="Q24" s="132">
        <f t="shared" si="5"/>
        <v>77386.885420454462</v>
      </c>
      <c r="R24" s="132">
        <f t="shared" si="6"/>
        <v>77412.159575539641</v>
      </c>
      <c r="S24" s="132">
        <f t="shared" si="7"/>
        <v>60501.855180839833</v>
      </c>
      <c r="T24" s="132">
        <f t="shared" si="8"/>
        <v>60877.683197424172</v>
      </c>
      <c r="U24" s="132">
        <f t="shared" si="9"/>
        <v>60897.56553275785</v>
      </c>
      <c r="V24" s="132">
        <f t="shared" si="15"/>
        <v>16407.282760905713</v>
      </c>
      <c r="W24" s="132">
        <f t="shared" si="16"/>
        <v>16509.20222303029</v>
      </c>
      <c r="X24" s="132">
        <f t="shared" si="17"/>
        <v>16514.594042781791</v>
      </c>
      <c r="Y24" s="132">
        <f t="shared" si="18"/>
        <v>49431.079026717794</v>
      </c>
      <c r="Z24" s="138">
        <f t="shared" si="19"/>
        <v>8.4129657096148165</v>
      </c>
    </row>
    <row r="25" spans="1:26" outlineLevel="1" x14ac:dyDescent="0.3">
      <c r="A25" s="98" t="s">
        <v>20</v>
      </c>
      <c r="B25" s="132">
        <f>VLOOKUP(A25,Iedz_sk!$B$5:$Y$123,15,FALSE)</f>
        <v>11824</v>
      </c>
      <c r="C25" s="132">
        <f>VLOOKUP(A25,Iedz_sk!$B$5:$Y$123,16,FALSE)</f>
        <v>12051</v>
      </c>
      <c r="D25" s="132">
        <f>VLOOKUP(A25,Iedz_sk!$B$5:$Y$123,17,FALSE)</f>
        <v>12277</v>
      </c>
      <c r="E25" s="133">
        <f>VLOOKUP($A25,IKP!$Q$6:$AC$124,11,FALSE)</f>
        <v>153394.16893274165</v>
      </c>
      <c r="F25" s="133">
        <f>VLOOKUP($A25,IKP!$Q$6:$AC$124,12,FALSE)</f>
        <v>164820.75920711004</v>
      </c>
      <c r="G25" s="133">
        <f>VLOOKUP($A25,IKP!$Q$6:$AC$124,13,FALSE)</f>
        <v>174833.34586820166</v>
      </c>
      <c r="H25" s="132">
        <f>((-0.0000000006)*IKP!$J$5 + 0.0461)*E25</f>
        <v>4211.4316918797085</v>
      </c>
      <c r="I25" s="132">
        <f>((-0.0000000006)*IKP!$K$5 + 0.0461)*F25</f>
        <v>4368.4208176338198</v>
      </c>
      <c r="J25" s="132">
        <f>((-0.0000000006)*IKP!$L$5 + 0.0461)*G25</f>
        <v>4503.606266789875</v>
      </c>
      <c r="K25" s="132">
        <f t="shared" si="0"/>
        <v>1010.7436060511301</v>
      </c>
      <c r="L25" s="132">
        <f t="shared" si="1"/>
        <v>1048.4209962321167</v>
      </c>
      <c r="M25" s="132">
        <f t="shared" si="2"/>
        <v>1080.86550402957</v>
      </c>
      <c r="N25" s="137">
        <f>VLOOKUP(A25,NSAmaksa_2021!$A$4:$N$138,12,FALSE)</f>
        <v>92.65</v>
      </c>
      <c r="O25" s="137">
        <f>VLOOKUP(A25,NSAmaksa_2021!$A$4:$N$138,14,FALSE)</f>
        <v>43.236666666666672</v>
      </c>
      <c r="P25" s="132">
        <f t="shared" si="4"/>
        <v>234113.487751593</v>
      </c>
      <c r="Q25" s="132">
        <f t="shared" si="5"/>
        <v>242840.51325226403</v>
      </c>
      <c r="R25" s="132">
        <f t="shared" si="6"/>
        <v>250355.47237084917</v>
      </c>
      <c r="S25" s="132">
        <f t="shared" si="7"/>
        <v>184169.27703125318</v>
      </c>
      <c r="T25" s="132">
        <f t="shared" si="8"/>
        <v>191034.53709178107</v>
      </c>
      <c r="U25" s="132">
        <f t="shared" si="9"/>
        <v>196946.30493173469</v>
      </c>
      <c r="V25" s="132">
        <f t="shared" si="15"/>
        <v>49944.210720339819</v>
      </c>
      <c r="W25" s="132">
        <f t="shared" si="16"/>
        <v>51805.976160482969</v>
      </c>
      <c r="X25" s="132">
        <f t="shared" si="17"/>
        <v>53409.167439114477</v>
      </c>
      <c r="Y25" s="132">
        <f t="shared" si="18"/>
        <v>155159.35431993727</v>
      </c>
      <c r="Z25" s="138">
        <f t="shared" si="19"/>
        <v>12.873207009449757</v>
      </c>
    </row>
    <row r="26" spans="1:26" outlineLevel="1" x14ac:dyDescent="0.3">
      <c r="A26" s="98" t="s">
        <v>21</v>
      </c>
      <c r="B26" s="132">
        <f>VLOOKUP(A26,Iedz_sk!$B$5:$Y$123,15,FALSE)</f>
        <v>11247</v>
      </c>
      <c r="C26" s="132">
        <f>VLOOKUP(A26,Iedz_sk!$B$5:$Y$123,16,FALSE)</f>
        <v>11352</v>
      </c>
      <c r="D26" s="132">
        <f>VLOOKUP(A26,Iedz_sk!$B$5:$Y$123,17,FALSE)</f>
        <v>11457</v>
      </c>
      <c r="E26" s="133">
        <f>VLOOKUP($A26,IKP!$Q$6:$AC$124,11,FALSE)</f>
        <v>145908.67878776602</v>
      </c>
      <c r="F26" s="133">
        <f>VLOOKUP($A26,IKP!$Q$6:$AC$124,12,FALSE)</f>
        <v>155260.58074177356</v>
      </c>
      <c r="G26" s="133">
        <f>VLOOKUP($A26,IKP!$Q$6:$AC$124,13,FALSE)</f>
        <v>163155.95370302079</v>
      </c>
      <c r="H26" s="132">
        <f>((-0.0000000006)*IKP!$J$5 + 0.0461)*E26</f>
        <v>4005.9178144934945</v>
      </c>
      <c r="I26" s="132">
        <f>((-0.0000000006)*IKP!$K$5 + 0.0461)*F26</f>
        <v>4115.0371854434588</v>
      </c>
      <c r="J26" s="132">
        <f>((-0.0000000006)*IKP!$L$5 + 0.0461)*G26</f>
        <v>4202.8033720462317</v>
      </c>
      <c r="K26" s="132">
        <f t="shared" si="0"/>
        <v>961.42027547843873</v>
      </c>
      <c r="L26" s="132">
        <f t="shared" si="1"/>
        <v>987.60892450643018</v>
      </c>
      <c r="M26" s="132">
        <f t="shared" si="2"/>
        <v>1008.6728092910956</v>
      </c>
      <c r="N26" s="137">
        <f>VLOOKUP(A26,NSAmaksa_2021!$A$4:$N$138,12,FALSE)</f>
        <v>90.45</v>
      </c>
      <c r="O26" s="137">
        <f>VLOOKUP(A26,NSAmaksa_2021!$A$4:$N$138,14,FALSE)</f>
        <v>42.21</v>
      </c>
      <c r="P26" s="132">
        <f t="shared" si="4"/>
        <v>217401.15979256196</v>
      </c>
      <c r="Q26" s="132">
        <f t="shared" si="5"/>
        <v>223323.0680540165</v>
      </c>
      <c r="R26" s="132">
        <f t="shared" si="6"/>
        <v>228086.13900094901</v>
      </c>
      <c r="S26" s="132">
        <f t="shared" si="7"/>
        <v>171022.24570348207</v>
      </c>
      <c r="T26" s="132">
        <f t="shared" si="8"/>
        <v>175680.81353582631</v>
      </c>
      <c r="U26" s="132">
        <f t="shared" si="9"/>
        <v>179427.76268074656</v>
      </c>
      <c r="V26" s="132">
        <f t="shared" si="15"/>
        <v>46378.914089079888</v>
      </c>
      <c r="W26" s="132">
        <f t="shared" si="16"/>
        <v>47642.254518190195</v>
      </c>
      <c r="X26" s="132">
        <f t="shared" si="17"/>
        <v>48658.376320202457</v>
      </c>
      <c r="Y26" s="132">
        <f t="shared" si="18"/>
        <v>142679.54492747254</v>
      </c>
      <c r="Z26" s="138">
        <f t="shared" si="19"/>
        <v>12.567529131189758</v>
      </c>
    </row>
    <row r="27" spans="1:26" outlineLevel="1" x14ac:dyDescent="0.3">
      <c r="A27" s="98" t="s">
        <v>22</v>
      </c>
      <c r="B27" s="132">
        <f>VLOOKUP(A27,Iedz_sk!$B$5:$Y$123,15,FALSE)</f>
        <v>5446</v>
      </c>
      <c r="C27" s="132">
        <f>VLOOKUP(A27,Iedz_sk!$B$5:$Y$123,16,FALSE)</f>
        <v>5471</v>
      </c>
      <c r="D27" s="132">
        <f>VLOOKUP(A27,Iedz_sk!$B$5:$Y$123,17,FALSE)</f>
        <v>5496</v>
      </c>
      <c r="E27" s="133">
        <f>VLOOKUP($A27,IKP!$Q$6:$AC$124,11,FALSE)</f>
        <v>70651.610623114946</v>
      </c>
      <c r="F27" s="133">
        <f>VLOOKUP($A27,IKP!$Q$6:$AC$124,12,FALSE)</f>
        <v>74826.518431839606</v>
      </c>
      <c r="G27" s="133">
        <f>VLOOKUP($A27,IKP!$Q$6:$AC$124,13,FALSE)</f>
        <v>78267.008951017051</v>
      </c>
      <c r="H27" s="132">
        <f>((-0.0000000006)*IKP!$J$5 + 0.0461)*E27</f>
        <v>1939.7375671496018</v>
      </c>
      <c r="I27" s="132">
        <f>((-0.0000000006)*IKP!$K$5 + 0.0461)*F27</f>
        <v>1983.2072270578899</v>
      </c>
      <c r="J27" s="132">
        <f>((-0.0000000006)*IKP!$L$5 + 0.0461)*G27</f>
        <v>2016.1130603793395</v>
      </c>
      <c r="K27" s="132">
        <f t="shared" si="0"/>
        <v>465.53701611590441</v>
      </c>
      <c r="L27" s="132">
        <f t="shared" si="1"/>
        <v>475.96973449389355</v>
      </c>
      <c r="M27" s="132">
        <f t="shared" si="2"/>
        <v>483.8671344910415</v>
      </c>
      <c r="N27" s="137">
        <f>VLOOKUP(A27,NSAmaksa_2021!$A$4:$N$138,12,FALSE)</f>
        <v>75.988</v>
      </c>
      <c r="O27" s="137">
        <f>VLOOKUP(A27,NSAmaksa_2021!$A$4:$N$138,14,FALSE)</f>
        <v>35.461066666666667</v>
      </c>
      <c r="P27" s="132">
        <f t="shared" si="4"/>
        <v>88438.066951538363</v>
      </c>
      <c r="Q27" s="132">
        <f t="shared" si="5"/>
        <v>90419.970461804958</v>
      </c>
      <c r="R27" s="132">
        <f t="shared" si="6"/>
        <v>91920.239539263144</v>
      </c>
      <c r="S27" s="132">
        <f t="shared" si="7"/>
        <v>69571.279335210173</v>
      </c>
      <c r="T27" s="132">
        <f t="shared" si="8"/>
        <v>71130.376763286564</v>
      </c>
      <c r="U27" s="132">
        <f t="shared" si="9"/>
        <v>72310.58843755367</v>
      </c>
      <c r="V27" s="132">
        <f t="shared" si="15"/>
        <v>18866.787616328191</v>
      </c>
      <c r="W27" s="132">
        <f t="shared" si="16"/>
        <v>19289.593698518394</v>
      </c>
      <c r="X27" s="132">
        <f t="shared" si="17"/>
        <v>19609.651101709474</v>
      </c>
      <c r="Y27" s="132">
        <f t="shared" si="18"/>
        <v>57766.03241655606</v>
      </c>
      <c r="Z27" s="138">
        <f t="shared" si="19"/>
        <v>10.558113915100581</v>
      </c>
    </row>
    <row r="28" spans="1:26" outlineLevel="1" x14ac:dyDescent="0.3">
      <c r="A28" s="98" t="s">
        <v>23</v>
      </c>
      <c r="B28" s="132">
        <f>VLOOKUP(A28,Iedz_sk!$B$5:$Y$123,15,FALSE)</f>
        <v>937</v>
      </c>
      <c r="C28" s="132">
        <f>VLOOKUP(A28,Iedz_sk!$B$5:$Y$123,16,FALSE)</f>
        <v>915</v>
      </c>
      <c r="D28" s="132">
        <f>VLOOKUP(A28,Iedz_sk!$B$5:$Y$123,17,FALSE)</f>
        <v>893</v>
      </c>
      <c r="E28" s="133">
        <f>VLOOKUP($A28,IKP!$Q$6:$AC$124,11,FALSE)</f>
        <v>6161.6194422005201</v>
      </c>
      <c r="F28" s="133">
        <f>VLOOKUP($A28,IKP!$Q$6:$AC$124,12,FALSE)</f>
        <v>6472.322322954763</v>
      </c>
      <c r="G28" s="133">
        <f>VLOOKUP($A28,IKP!$Q$6:$AC$124,13,FALSE)</f>
        <v>6714.4196307593284</v>
      </c>
      <c r="H28" s="132">
        <f>((-0.0000000006)*IKP!$J$5 + 0.0461)*E28</f>
        <v>169.16705225974616</v>
      </c>
      <c r="I28" s="132">
        <f>((-0.0000000006)*IKP!$K$5 + 0.0461)*F28</f>
        <v>171.54287912545905</v>
      </c>
      <c r="J28" s="132">
        <f>((-0.0000000006)*IKP!$L$5 + 0.0461)*G28</f>
        <v>172.95958146188229</v>
      </c>
      <c r="K28" s="132">
        <f t="shared" si="0"/>
        <v>40.600092542339077</v>
      </c>
      <c r="L28" s="132">
        <f t="shared" si="1"/>
        <v>41.170290990110175</v>
      </c>
      <c r="M28" s="132">
        <f t="shared" si="2"/>
        <v>41.510299550851748</v>
      </c>
      <c r="N28" s="137">
        <f>VLOOKUP(A28,NSAmaksa_2021!$A$4:$N$138,12,FALSE)</f>
        <v>121.726</v>
      </c>
      <c r="O28" s="137">
        <f>VLOOKUP(A28,NSAmaksa_2021!$A$4:$N$138,14,FALSE)</f>
        <v>56.805466666666675</v>
      </c>
      <c r="P28" s="132">
        <f t="shared" si="4"/>
        <v>12355.217162021916</v>
      </c>
      <c r="Q28" s="132">
        <f t="shared" si="5"/>
        <v>12528.737102655376</v>
      </c>
      <c r="R28" s="132">
        <f t="shared" si="6"/>
        <v>12632.206807817451</v>
      </c>
      <c r="S28" s="132">
        <f t="shared" si="7"/>
        <v>9719.4375007905728</v>
      </c>
      <c r="T28" s="132">
        <f t="shared" si="8"/>
        <v>9855.939854088896</v>
      </c>
      <c r="U28" s="132">
        <f t="shared" si="9"/>
        <v>9937.3360221497278</v>
      </c>
      <c r="V28" s="132">
        <f t="shared" si="15"/>
        <v>2635.7796612313432</v>
      </c>
      <c r="W28" s="132">
        <f t="shared" si="16"/>
        <v>2672.7972485664795</v>
      </c>
      <c r="X28" s="132">
        <f t="shared" si="17"/>
        <v>2694.8707856677229</v>
      </c>
      <c r="Y28" s="132">
        <f t="shared" si="18"/>
        <v>8003.4476954655456</v>
      </c>
      <c r="Z28" s="138">
        <f t="shared" si="19"/>
        <v>8.7518608967198084</v>
      </c>
    </row>
    <row r="29" spans="1:26" outlineLevel="1" x14ac:dyDescent="0.3">
      <c r="A29" s="98" t="s">
        <v>24</v>
      </c>
      <c r="B29" s="132">
        <f>VLOOKUP(A29,Iedz_sk!$B$5:$Y$123,15,FALSE)</f>
        <v>11576</v>
      </c>
      <c r="C29" s="132">
        <f>VLOOKUP(A29,Iedz_sk!$B$5:$Y$123,16,FALSE)</f>
        <v>11292</v>
      </c>
      <c r="D29" s="132">
        <f>VLOOKUP(A29,Iedz_sk!$B$5:$Y$123,17,FALSE)</f>
        <v>11008</v>
      </c>
      <c r="E29" s="133">
        <f>VLOOKUP($A29,IKP!$Q$6:$AC$124,11,FALSE)</f>
        <v>76122.632511113363</v>
      </c>
      <c r="F29" s="133">
        <f>VLOOKUP($A29,IKP!$Q$6:$AC$124,12,FALSE)</f>
        <v>79874.823683940092</v>
      </c>
      <c r="G29" s="133">
        <f>VLOOKUP($A29,IKP!$Q$6:$AC$124,13,FALSE)</f>
        <v>82768.568079953737</v>
      </c>
      <c r="H29" s="132">
        <f>((-0.0000000006)*IKP!$J$5 + 0.0461)*E29</f>
        <v>2089.9442870424991</v>
      </c>
      <c r="I29" s="132">
        <f>((-0.0000000006)*IKP!$K$5 + 0.0461)*F29</f>
        <v>2117.0078591089436</v>
      </c>
      <c r="J29" s="132">
        <f>((-0.0000000006)*IKP!$L$5 + 0.0461)*G29</f>
        <v>2132.0706301594628</v>
      </c>
      <c r="K29" s="132">
        <f t="shared" si="0"/>
        <v>501.58662889019979</v>
      </c>
      <c r="L29" s="132">
        <f t="shared" si="1"/>
        <v>508.08188618614651</v>
      </c>
      <c r="M29" s="132">
        <f t="shared" si="2"/>
        <v>511.69695123827108</v>
      </c>
      <c r="N29" s="137">
        <f>VLOOKUP(A29,NSAmaksa_2021!$A$4:$N$138,12,FALSE)</f>
        <v>115.13799999999999</v>
      </c>
      <c r="O29" s="137">
        <f>VLOOKUP(A29,NSAmaksa_2021!$A$4:$N$138,14,FALSE)</f>
        <v>53.731066666666663</v>
      </c>
      <c r="P29" s="132">
        <f t="shared" si="4"/>
        <v>144379.20319289956</v>
      </c>
      <c r="Q29" s="132">
        <f t="shared" si="5"/>
        <v>146248.83052925134</v>
      </c>
      <c r="R29" s="132">
        <f t="shared" si="6"/>
        <v>147289.40892918012</v>
      </c>
      <c r="S29" s="132">
        <f t="shared" si="7"/>
        <v>113578.30651174764</v>
      </c>
      <c r="T29" s="132">
        <f t="shared" si="8"/>
        <v>115049.08001634436</v>
      </c>
      <c r="U29" s="132">
        <f t="shared" si="9"/>
        <v>115867.66835762169</v>
      </c>
      <c r="V29" s="132">
        <f t="shared" si="15"/>
        <v>30800.89668115192</v>
      </c>
      <c r="W29" s="132">
        <f t="shared" si="16"/>
        <v>31199.750512906976</v>
      </c>
      <c r="X29" s="132">
        <f t="shared" si="17"/>
        <v>31421.740571558432</v>
      </c>
      <c r="Y29" s="132">
        <f t="shared" si="18"/>
        <v>93422.387765617328</v>
      </c>
      <c r="Z29" s="138">
        <f t="shared" si="19"/>
        <v>8.278196604887416</v>
      </c>
    </row>
    <row r="30" spans="1:26" outlineLevel="1" x14ac:dyDescent="0.3">
      <c r="A30" s="98" t="s">
        <v>25</v>
      </c>
      <c r="B30" s="132">
        <f>VLOOKUP(A30,Iedz_sk!$B$5:$Y$123,15,FALSE)</f>
        <v>22259</v>
      </c>
      <c r="C30" s="132">
        <f>VLOOKUP(A30,Iedz_sk!$B$5:$Y$123,16,FALSE)</f>
        <v>21899</v>
      </c>
      <c r="D30" s="132">
        <f>VLOOKUP(A30,Iedz_sk!$B$5:$Y$123,17,FALSE)</f>
        <v>21539</v>
      </c>
      <c r="E30" s="133">
        <f>VLOOKUP($A30,IKP!$Q$6:$AC$124,11,FALSE)</f>
        <v>189962.78701425708</v>
      </c>
      <c r="F30" s="133">
        <f>VLOOKUP($A30,IKP!$Q$6:$AC$124,12,FALSE)</f>
        <v>199669.81391545461</v>
      </c>
      <c r="G30" s="133">
        <f>VLOOKUP($A30,IKP!$Q$6:$AC$124,13,FALSE)</f>
        <v>207278.99437559093</v>
      </c>
      <c r="H30" s="132">
        <f>((-0.0000000006)*IKP!$J$5 + 0.0461)*E30</f>
        <v>5215.4218577918564</v>
      </c>
      <c r="I30" s="132">
        <f>((-0.0000000006)*IKP!$K$5 + 0.0461)*F30</f>
        <v>5292.0625772952762</v>
      </c>
      <c r="J30" s="132">
        <f>((-0.0000000006)*IKP!$L$5 + 0.0461)*G30</f>
        <v>5339.3874801637494</v>
      </c>
      <c r="K30" s="132">
        <f t="shared" si="0"/>
        <v>1251.7012458700453</v>
      </c>
      <c r="L30" s="132">
        <f t="shared" si="1"/>
        <v>1270.0950185508664</v>
      </c>
      <c r="M30" s="132">
        <f t="shared" si="2"/>
        <v>1281.4529952392998</v>
      </c>
      <c r="N30" s="137">
        <f>VLOOKUP(A30,NSAmaksa_2021!$A$4:$N$138,12,FALSE)</f>
        <v>120.8</v>
      </c>
      <c r="O30" s="137">
        <f>VLOOKUP(A30,NSAmaksa_2021!$A$4:$N$138,14,FALSE)</f>
        <v>41.533333333333339</v>
      </c>
      <c r="P30" s="132">
        <f t="shared" si="4"/>
        <v>378013.77625275374</v>
      </c>
      <c r="Q30" s="132">
        <f t="shared" si="5"/>
        <v>383568.69560236158</v>
      </c>
      <c r="R30" s="132">
        <f t="shared" si="6"/>
        <v>386998.80456226855</v>
      </c>
      <c r="S30" s="132">
        <f t="shared" si="7"/>
        <v>278795.59083012148</v>
      </c>
      <c r="T30" s="132">
        <f t="shared" si="8"/>
        <v>282892.49713189626</v>
      </c>
      <c r="U30" s="132">
        <f t="shared" si="9"/>
        <v>285422.29713963339</v>
      </c>
      <c r="V30" s="132">
        <f t="shared" si="15"/>
        <v>99218.185422632261</v>
      </c>
      <c r="W30" s="132">
        <f t="shared" si="16"/>
        <v>100676.19847046532</v>
      </c>
      <c r="X30" s="132">
        <f t="shared" si="17"/>
        <v>101576.50742263516</v>
      </c>
      <c r="Y30" s="132">
        <f t="shared" si="18"/>
        <v>301470.89131573273</v>
      </c>
      <c r="Z30" s="138">
        <f t="shared" si="19"/>
        <v>13.770672121051785</v>
      </c>
    </row>
    <row r="31" spans="1:26" outlineLevel="1" x14ac:dyDescent="0.3">
      <c r="A31" s="98" t="s">
        <v>26</v>
      </c>
      <c r="B31" s="132">
        <f>VLOOKUP(A31,Iedz_sk!$B$5:$Y$123,15,FALSE)</f>
        <v>2948</v>
      </c>
      <c r="C31" s="132">
        <f>VLOOKUP(A31,Iedz_sk!$B$5:$Y$123,16,FALSE)</f>
        <v>2895</v>
      </c>
      <c r="D31" s="132">
        <f>VLOOKUP(A31,Iedz_sk!$B$5:$Y$123,17,FALSE)</f>
        <v>2842</v>
      </c>
      <c r="E31" s="133">
        <f>VLOOKUP($A31,IKP!$Q$6:$AC$124,11,FALSE)</f>
        <v>27838.812752587019</v>
      </c>
      <c r="F31" s="133">
        <f>VLOOKUP($A31,IKP!$Q$6:$AC$124,12,FALSE)</f>
        <v>29413.887762217419</v>
      </c>
      <c r="G31" s="133">
        <f>VLOOKUP($A31,IKP!$Q$6:$AC$124,13,FALSE)</f>
        <v>30700.24133199863</v>
      </c>
      <c r="H31" s="132">
        <f>((-0.0000000006)*IKP!$J$5 + 0.0461)*E31</f>
        <v>764.31365746344909</v>
      </c>
      <c r="I31" s="132">
        <f>((-0.0000000006)*IKP!$K$5 + 0.0461)*F31</f>
        <v>779.58771847759044</v>
      </c>
      <c r="J31" s="132">
        <f>((-0.0000000006)*IKP!$L$5 + 0.0461)*G31</f>
        <v>790.82053007770833</v>
      </c>
      <c r="K31" s="132">
        <f t="shared" si="0"/>
        <v>183.43527779122778</v>
      </c>
      <c r="L31" s="132">
        <f t="shared" si="1"/>
        <v>187.10105243462172</v>
      </c>
      <c r="M31" s="132">
        <f t="shared" si="2"/>
        <v>189.79692721865001</v>
      </c>
      <c r="N31" s="137">
        <f>VLOOKUP(A31,NSAmaksa_2021!$A$4:$N$138,12,FALSE)</f>
        <v>123.84350000000001</v>
      </c>
      <c r="O31" s="137">
        <f>VLOOKUP(A31,NSAmaksa_2021!$A$4:$N$138,14,FALSE)</f>
        <v>57.793633333333325</v>
      </c>
      <c r="P31" s="132">
        <f t="shared" si="4"/>
        <v>56793.167062844797</v>
      </c>
      <c r="Q31" s="132">
        <f t="shared" si="5"/>
        <v>57928.122967967684</v>
      </c>
      <c r="R31" s="132">
        <f t="shared" si="6"/>
        <v>58762.789390007201</v>
      </c>
      <c r="S31" s="132">
        <f t="shared" si="7"/>
        <v>44677.291422771232</v>
      </c>
      <c r="T31" s="132">
        <f t="shared" si="8"/>
        <v>45570.123401467907</v>
      </c>
      <c r="U31" s="132">
        <f t="shared" si="9"/>
        <v>46226.727653472335</v>
      </c>
      <c r="V31" s="132">
        <f t="shared" si="15"/>
        <v>12115.875640073566</v>
      </c>
      <c r="W31" s="132">
        <f t="shared" si="16"/>
        <v>12357.999566499777</v>
      </c>
      <c r="X31" s="132">
        <f t="shared" si="17"/>
        <v>12536.061736534866</v>
      </c>
      <c r="Y31" s="132">
        <f t="shared" si="18"/>
        <v>37009.936943108209</v>
      </c>
      <c r="Z31" s="138">
        <f t="shared" si="19"/>
        <v>12.789601798927482</v>
      </c>
    </row>
    <row r="32" spans="1:26" outlineLevel="1" x14ac:dyDescent="0.3">
      <c r="A32" s="98" t="s">
        <v>27</v>
      </c>
      <c r="B32" s="132">
        <f>VLOOKUP(A32,Iedz_sk!$B$5:$Y$123,15,FALSE)</f>
        <v>5672</v>
      </c>
      <c r="C32" s="132">
        <f>VLOOKUP(A32,Iedz_sk!$B$5:$Y$123,16,FALSE)</f>
        <v>5556</v>
      </c>
      <c r="D32" s="132">
        <f>VLOOKUP(A32,Iedz_sk!$B$5:$Y$123,17,FALSE)</f>
        <v>5440</v>
      </c>
      <c r="E32" s="133">
        <f>VLOOKUP($A32,IKP!$Q$6:$AC$124,11,FALSE)</f>
        <v>54344.370332916398</v>
      </c>
      <c r="F32" s="133">
        <f>VLOOKUP($A32,IKP!$Q$6:$AC$124,12,FALSE)</f>
        <v>56963.731214438187</v>
      </c>
      <c r="G32" s="133">
        <f>VLOOKUP($A32,IKP!$Q$6:$AC$124,13,FALSE)</f>
        <v>58964.069854419598</v>
      </c>
      <c r="H32" s="132">
        <f>((-0.0000000006)*IKP!$J$5 + 0.0461)*E32</f>
        <v>1492.0228395099068</v>
      </c>
      <c r="I32" s="132">
        <f>((-0.0000000006)*IKP!$K$5 + 0.0461)*F32</f>
        <v>1509.7706774579319</v>
      </c>
      <c r="J32" s="132">
        <f>((-0.0000000006)*IKP!$L$5 + 0.0461)*G32</f>
        <v>1518.8804698160154</v>
      </c>
      <c r="K32" s="132">
        <f t="shared" si="0"/>
        <v>358.08548148237759</v>
      </c>
      <c r="L32" s="132">
        <f t="shared" si="1"/>
        <v>362.34496258990367</v>
      </c>
      <c r="M32" s="132">
        <f t="shared" si="2"/>
        <v>364.53131275584371</v>
      </c>
      <c r="N32" s="137">
        <f>VLOOKUP(A32,NSAmaksa_2021!$A$4:$N$138,12,FALSE)</f>
        <v>118.6</v>
      </c>
      <c r="O32" s="137">
        <f>VLOOKUP(A32,NSAmaksa_2021!$A$4:$N$138,14,FALSE)</f>
        <v>55.346666666666664</v>
      </c>
      <c r="P32" s="132">
        <f t="shared" si="4"/>
        <v>106172.34525952497</v>
      </c>
      <c r="Q32" s="132">
        <f t="shared" si="5"/>
        <v>107435.28140790643</v>
      </c>
      <c r="R32" s="132">
        <f t="shared" si="6"/>
        <v>108083.53423210765</v>
      </c>
      <c r="S32" s="132">
        <f t="shared" si="7"/>
        <v>83522.244937492971</v>
      </c>
      <c r="T32" s="132">
        <f t="shared" si="8"/>
        <v>84515.754707553046</v>
      </c>
      <c r="U32" s="132">
        <f t="shared" si="9"/>
        <v>85025.713595924681</v>
      </c>
      <c r="V32" s="132">
        <f t="shared" si="15"/>
        <v>22650.100322031998</v>
      </c>
      <c r="W32" s="132">
        <f t="shared" si="16"/>
        <v>22919.526700353381</v>
      </c>
      <c r="X32" s="132">
        <f t="shared" si="17"/>
        <v>23057.820636182965</v>
      </c>
      <c r="Y32" s="132">
        <f t="shared" si="18"/>
        <v>68627.447658568344</v>
      </c>
      <c r="Z32" s="138">
        <f t="shared" si="19"/>
        <v>12.357072871539236</v>
      </c>
    </row>
    <row r="33" spans="1:26" outlineLevel="1" x14ac:dyDescent="0.3">
      <c r="A33" s="98" t="s">
        <v>28</v>
      </c>
      <c r="B33" s="132">
        <f>VLOOKUP(A33,Iedz_sk!$B$5:$Y$123,15,FALSE)</f>
        <v>7410</v>
      </c>
      <c r="C33" s="132">
        <f>VLOOKUP(A33,Iedz_sk!$B$5:$Y$123,16,FALSE)</f>
        <v>7314</v>
      </c>
      <c r="D33" s="132">
        <f>VLOOKUP(A33,Iedz_sk!$B$5:$Y$123,17,FALSE)</f>
        <v>7218</v>
      </c>
      <c r="E33" s="133">
        <f>VLOOKUP($A33,IKP!$Q$6:$AC$124,11,FALSE)</f>
        <v>69974.763397784875</v>
      </c>
      <c r="F33" s="133">
        <f>VLOOKUP($A33,IKP!$Q$6:$AC$124,12,FALSE)</f>
        <v>74311.977579571045</v>
      </c>
      <c r="G33" s="133">
        <f>VLOOKUP($A33,IKP!$Q$6:$AC$124,13,FALSE)</f>
        <v>77971.267394217488</v>
      </c>
      <c r="H33" s="132">
        <f>((-0.0000000006)*IKP!$J$5 + 0.0461)*E33</f>
        <v>1921.1547495943546</v>
      </c>
      <c r="I33" s="132">
        <f>((-0.0000000006)*IKP!$K$5 + 0.0461)*F33</f>
        <v>1969.569800671881</v>
      </c>
      <c r="J33" s="132">
        <f>((-0.0000000006)*IKP!$L$5 + 0.0461)*G33</f>
        <v>2008.4949282550665</v>
      </c>
      <c r="K33" s="132">
        <f t="shared" si="0"/>
        <v>461.07713990264506</v>
      </c>
      <c r="L33" s="132">
        <f t="shared" si="1"/>
        <v>472.69675216125142</v>
      </c>
      <c r="M33" s="132">
        <f t="shared" si="2"/>
        <v>482.03878278121601</v>
      </c>
      <c r="N33" s="137">
        <f>VLOOKUP(A33,NSAmaksa_2021!$A$4:$N$138,12,FALSE)</f>
        <v>123.84350000000001</v>
      </c>
      <c r="O33" s="137">
        <f>VLOOKUP(A33,NSAmaksa_2021!$A$4:$N$138,14,FALSE)</f>
        <v>57.793633333333325</v>
      </c>
      <c r="P33" s="132">
        <f t="shared" si="4"/>
        <v>142753.51693883308</v>
      </c>
      <c r="Q33" s="132">
        <f t="shared" si="5"/>
        <v>146351.05056570485</v>
      </c>
      <c r="R33" s="132">
        <f t="shared" si="6"/>
        <v>149243.42498841378</v>
      </c>
      <c r="S33" s="132">
        <f t="shared" si="7"/>
        <v>112299.43332521533</v>
      </c>
      <c r="T33" s="132">
        <f t="shared" si="8"/>
        <v>115129.49311168783</v>
      </c>
      <c r="U33" s="132">
        <f t="shared" si="9"/>
        <v>117404.82765755219</v>
      </c>
      <c r="V33" s="132">
        <f t="shared" si="15"/>
        <v>30454.083613617753</v>
      </c>
      <c r="W33" s="132">
        <f t="shared" si="16"/>
        <v>31221.55745401702</v>
      </c>
      <c r="X33" s="132">
        <f t="shared" si="17"/>
        <v>31838.597330861594</v>
      </c>
      <c r="Y33" s="132">
        <f t="shared" si="18"/>
        <v>93514.238398496367</v>
      </c>
      <c r="Z33" s="138">
        <f t="shared" si="19"/>
        <v>12.789601798927478</v>
      </c>
    </row>
    <row r="34" spans="1:26" outlineLevel="1" x14ac:dyDescent="0.3">
      <c r="A34" s="98" t="s">
        <v>29</v>
      </c>
      <c r="B34" s="132">
        <f>VLOOKUP(A34,Iedz_sk!$B$5:$Y$123,15,FALSE)</f>
        <v>9310</v>
      </c>
      <c r="C34" s="132">
        <f>VLOOKUP(A34,Iedz_sk!$B$5:$Y$123,16,FALSE)</f>
        <v>9290</v>
      </c>
      <c r="D34" s="132">
        <f>VLOOKUP(A34,Iedz_sk!$B$5:$Y$123,17,FALSE)</f>
        <v>9269</v>
      </c>
      <c r="E34" s="133">
        <f>VLOOKUP($A34,IKP!$Q$6:$AC$124,11,FALSE)</f>
        <v>120779.74566676462</v>
      </c>
      <c r="F34" s="133">
        <f>VLOOKUP($A34,IKP!$Q$6:$AC$124,12,FALSE)</f>
        <v>127058.73811584535</v>
      </c>
      <c r="G34" s="133">
        <f>VLOOKUP($A34,IKP!$Q$6:$AC$124,13,FALSE)</f>
        <v>131997.25363300164</v>
      </c>
      <c r="H34" s="132">
        <f>((-0.0000000006)*IKP!$J$5 + 0.0461)*E34</f>
        <v>3316.0038101657715</v>
      </c>
      <c r="I34" s="132">
        <f>((-0.0000000006)*IKP!$K$5 + 0.0461)*F34</f>
        <v>3367.5735952052269</v>
      </c>
      <c r="J34" s="132">
        <f>((-0.0000000006)*IKP!$L$5 + 0.0461)*G34</f>
        <v>3400.1732089985621</v>
      </c>
      <c r="K34" s="132">
        <f t="shared" si="0"/>
        <v>795.84091443978514</v>
      </c>
      <c r="L34" s="132">
        <f t="shared" si="1"/>
        <v>808.21766284925445</v>
      </c>
      <c r="M34" s="132">
        <f t="shared" si="2"/>
        <v>816.04157015965495</v>
      </c>
      <c r="N34" s="137">
        <f>VLOOKUP(A34,NSAmaksa_2021!$A$4:$N$138,12,FALSE)</f>
        <v>79.05</v>
      </c>
      <c r="O34" s="137">
        <f>VLOOKUP(A34,NSAmaksa_2021!$A$4:$N$138,14,FALSE)</f>
        <v>36.89</v>
      </c>
      <c r="P34" s="132">
        <f t="shared" si="4"/>
        <v>157278.06071616252</v>
      </c>
      <c r="Q34" s="132">
        <f t="shared" si="5"/>
        <v>159724.0156205839</v>
      </c>
      <c r="R34" s="132">
        <f t="shared" si="6"/>
        <v>161270.21530280178</v>
      </c>
      <c r="S34" s="132">
        <f t="shared" si="7"/>
        <v>123725.4077633812</v>
      </c>
      <c r="T34" s="132">
        <f t="shared" si="8"/>
        <v>125649.55895485933</v>
      </c>
      <c r="U34" s="132">
        <f t="shared" si="9"/>
        <v>126865.90270487074</v>
      </c>
      <c r="V34" s="132">
        <f t="shared" si="15"/>
        <v>33552.652952781325</v>
      </c>
      <c r="W34" s="132">
        <f t="shared" si="16"/>
        <v>34074.456665724574</v>
      </c>
      <c r="X34" s="132">
        <f t="shared" si="17"/>
        <v>34404.312597931043</v>
      </c>
      <c r="Y34" s="132">
        <f t="shared" si="18"/>
        <v>102031.42221643694</v>
      </c>
      <c r="Z34" s="138">
        <f t="shared" si="19"/>
        <v>10.983561943842457</v>
      </c>
    </row>
    <row r="35" spans="1:26" outlineLevel="1" x14ac:dyDescent="0.3">
      <c r="A35" s="98" t="s">
        <v>30</v>
      </c>
      <c r="B35" s="132">
        <f>VLOOKUP(A35,Iedz_sk!$B$5:$Y$123,15,FALSE)</f>
        <v>2253</v>
      </c>
      <c r="C35" s="132">
        <f>VLOOKUP(A35,Iedz_sk!$B$5:$Y$123,16,FALSE)</f>
        <v>2198</v>
      </c>
      <c r="D35" s="132">
        <f>VLOOKUP(A35,Iedz_sk!$B$5:$Y$123,17,FALSE)</f>
        <v>2144</v>
      </c>
      <c r="E35" s="133">
        <f>VLOOKUP($A35,IKP!$Q$6:$AC$124,11,FALSE)</f>
        <v>21275.727656573457</v>
      </c>
      <c r="F35" s="133">
        <f>VLOOKUP($A35,IKP!$Q$6:$AC$124,12,FALSE)</f>
        <v>22332.202176633466</v>
      </c>
      <c r="G35" s="133">
        <f>VLOOKUP($A35,IKP!$Q$6:$AC$124,13,FALSE)</f>
        <v>23160.210209642879</v>
      </c>
      <c r="H35" s="132">
        <f>((-0.0000000006)*IKP!$J$5 + 0.0461)*E35</f>
        <v>584.1243793301054</v>
      </c>
      <c r="I35" s="132">
        <f>((-0.0000000006)*IKP!$K$5 + 0.0461)*F35</f>
        <v>591.89423323445374</v>
      </c>
      <c r="J35" s="132">
        <f>((-0.0000000006)*IKP!$L$5 + 0.0461)*G35</f>
        <v>596.59367223314803</v>
      </c>
      <c r="K35" s="132">
        <f t="shared" si="0"/>
        <v>140.18985103922529</v>
      </c>
      <c r="L35" s="132">
        <f t="shared" si="1"/>
        <v>142.05461597626891</v>
      </c>
      <c r="M35" s="132">
        <f t="shared" si="2"/>
        <v>143.18248133595552</v>
      </c>
      <c r="N35" s="137">
        <f>VLOOKUP(A35,NSAmaksa_2021!$A$4:$N$138,12,FALSE)</f>
        <v>126.15</v>
      </c>
      <c r="O35" s="137">
        <f>VLOOKUP(A35,NSAmaksa_2021!$A$4:$N$138,14,FALSE)</f>
        <v>58.870000000000005</v>
      </c>
      <c r="P35" s="132">
        <f t="shared" si="4"/>
        <v>44212.374271495682</v>
      </c>
      <c r="Q35" s="132">
        <f t="shared" si="5"/>
        <v>44800.474513515801</v>
      </c>
      <c r="R35" s="132">
        <f t="shared" si="6"/>
        <v>45156.175051326973</v>
      </c>
      <c r="S35" s="132">
        <f t="shared" si="7"/>
        <v>34780.401093576598</v>
      </c>
      <c r="T35" s="132">
        <f t="shared" si="8"/>
        <v>35243.039950632432</v>
      </c>
      <c r="U35" s="132">
        <f t="shared" si="9"/>
        <v>35522.857707043884</v>
      </c>
      <c r="V35" s="132">
        <f t="shared" si="15"/>
        <v>9431.9731779190843</v>
      </c>
      <c r="W35" s="132">
        <f t="shared" si="16"/>
        <v>9557.4345628833689</v>
      </c>
      <c r="X35" s="132">
        <f t="shared" si="17"/>
        <v>9633.3173442830885</v>
      </c>
      <c r="Y35" s="132">
        <f t="shared" si="18"/>
        <v>28622.725085085542</v>
      </c>
      <c r="Z35" s="138">
        <f t="shared" si="19"/>
        <v>13.027799334924332</v>
      </c>
    </row>
    <row r="36" spans="1:26" outlineLevel="1" x14ac:dyDescent="0.3">
      <c r="A36" s="98" t="s">
        <v>31</v>
      </c>
      <c r="B36" s="132">
        <f>VLOOKUP(A36,Iedz_sk!$B$5:$Y$123,15,FALSE)</f>
        <v>16143</v>
      </c>
      <c r="C36" s="132">
        <f>VLOOKUP(A36,Iedz_sk!$B$5:$Y$123,16,FALSE)</f>
        <v>15785</v>
      </c>
      <c r="D36" s="132">
        <f>VLOOKUP(A36,Iedz_sk!$B$5:$Y$123,17,FALSE)</f>
        <v>15426</v>
      </c>
      <c r="E36" s="133">
        <f>VLOOKUP($A36,IKP!$Q$6:$AC$124,11,FALSE)</f>
        <v>152442.99669776534</v>
      </c>
      <c r="F36" s="133">
        <f>VLOOKUP($A36,IKP!$Q$6:$AC$124,12,FALSE)</f>
        <v>160379.35002646007</v>
      </c>
      <c r="G36" s="133">
        <f>VLOOKUP($A36,IKP!$Q$6:$AC$124,13,FALSE)</f>
        <v>166636.84827143239</v>
      </c>
      <c r="H36" s="132">
        <f>((-0.0000000006)*IKP!$J$5 + 0.0461)*E36</f>
        <v>4185.317290513045</v>
      </c>
      <c r="I36" s="132">
        <f>((-0.0000000006)*IKP!$K$5 + 0.0461)*F36</f>
        <v>4250.705401094564</v>
      </c>
      <c r="J36" s="132">
        <f>((-0.0000000006)*IKP!$L$5 + 0.0461)*G36</f>
        <v>4292.4692107595811</v>
      </c>
      <c r="K36" s="132">
        <f t="shared" si="0"/>
        <v>1004.4761497231308</v>
      </c>
      <c r="L36" s="132">
        <f t="shared" si="1"/>
        <v>1020.1692962626954</v>
      </c>
      <c r="M36" s="132">
        <f t="shared" si="2"/>
        <v>1030.1926105822995</v>
      </c>
      <c r="N36" s="137">
        <f>VLOOKUP(A36,NSAmaksa_2021!$A$4:$N$138,12,FALSE)</f>
        <v>121.96799999999999</v>
      </c>
      <c r="O36" s="137">
        <f>VLOOKUP(A36,NSAmaksa_2021!$A$4:$N$138,14,FALSE)</f>
        <v>56.918399999999991</v>
      </c>
      <c r="P36" s="132">
        <f t="shared" si="4"/>
        <v>306284.86757357698</v>
      </c>
      <c r="Q36" s="132">
        <f t="shared" si="5"/>
        <v>311070.02181642107</v>
      </c>
      <c r="R36" s="132">
        <f t="shared" si="6"/>
        <v>314126.33081875474</v>
      </c>
      <c r="S36" s="132">
        <f t="shared" si="7"/>
        <v>240944.09582454723</v>
      </c>
      <c r="T36" s="132">
        <f t="shared" si="8"/>
        <v>244708.41716225119</v>
      </c>
      <c r="U36" s="132">
        <f t="shared" si="9"/>
        <v>247112.71357742039</v>
      </c>
      <c r="V36" s="132">
        <f t="shared" si="15"/>
        <v>65340.771749029751</v>
      </c>
      <c r="W36" s="132">
        <f t="shared" si="16"/>
        <v>66361.604654169874</v>
      </c>
      <c r="X36" s="132">
        <f t="shared" si="17"/>
        <v>67013.617241334345</v>
      </c>
      <c r="Y36" s="132">
        <f t="shared" si="18"/>
        <v>198715.99364453397</v>
      </c>
      <c r="Z36" s="138">
        <f t="shared" si="19"/>
        <v>12.595914619754664</v>
      </c>
    </row>
    <row r="37" spans="1:26" outlineLevel="1" x14ac:dyDescent="0.3">
      <c r="A37" s="98" t="s">
        <v>32</v>
      </c>
      <c r="B37" s="132">
        <f>VLOOKUP(A37,Iedz_sk!$B$5:$Y$123,15,FALSE)</f>
        <v>2362</v>
      </c>
      <c r="C37" s="132">
        <f>VLOOKUP(A37,Iedz_sk!$B$5:$Y$123,16,FALSE)</f>
        <v>2316</v>
      </c>
      <c r="D37" s="132">
        <f>VLOOKUP(A37,Iedz_sk!$B$5:$Y$123,17,FALSE)</f>
        <v>2270</v>
      </c>
      <c r="E37" s="133">
        <f>VLOOKUP($A37,IKP!$Q$6:$AC$124,11,FALSE)</f>
        <v>15532.278679271749</v>
      </c>
      <c r="F37" s="133">
        <f>VLOOKUP($A37,IKP!$Q$6:$AC$124,12,FALSE)</f>
        <v>16382.402732200253</v>
      </c>
      <c r="G37" s="133">
        <f>VLOOKUP($A37,IKP!$Q$6:$AC$124,13,FALSE)</f>
        <v>17068.009587708482</v>
      </c>
      <c r="H37" s="132">
        <f>((-0.0000000006)*IKP!$J$5 + 0.0461)*E37</f>
        <v>426.43818296426946</v>
      </c>
      <c r="I37" s="132">
        <f>((-0.0000000006)*IKP!$K$5 + 0.0461)*F37</f>
        <v>434.20033667165376</v>
      </c>
      <c r="J37" s="132">
        <f>((-0.0000000006)*IKP!$L$5 + 0.0461)*G37</f>
        <v>439.66209397365373</v>
      </c>
      <c r="K37" s="132">
        <f t="shared" ref="K37:K68" si="20">H37*$AB$6*$AB$5</f>
        <v>102.34516391142468</v>
      </c>
      <c r="L37" s="132">
        <f t="shared" ref="L37:L68" si="21">I37*$AB$6*$AB$5</f>
        <v>104.2080808011969</v>
      </c>
      <c r="M37" s="132">
        <f t="shared" ref="M37:M68" si="22">J37*$AB$6*$AB$5</f>
        <v>105.5189025536769</v>
      </c>
      <c r="N37" s="137">
        <f>VLOOKUP(A37,NSAmaksa_2021!$A$4:$N$138,12,FALSE)</f>
        <v>78.650000000000006</v>
      </c>
      <c r="O37" s="137">
        <f>VLOOKUP(A37,NSAmaksa_2021!$A$4:$N$138,14,FALSE)</f>
        <v>36.703333333333333</v>
      </c>
      <c r="P37" s="132">
        <f t="shared" si="4"/>
        <v>20123.617854083877</v>
      </c>
      <c r="Q37" s="132">
        <f t="shared" si="5"/>
        <v>20489.913887535338</v>
      </c>
      <c r="R37" s="132">
        <f t="shared" si="6"/>
        <v>20747.654214616719</v>
      </c>
      <c r="S37" s="132">
        <f t="shared" si="7"/>
        <v>15830.579378545983</v>
      </c>
      <c r="T37" s="132">
        <f t="shared" si="8"/>
        <v>16118.732258194466</v>
      </c>
      <c r="U37" s="132">
        <f t="shared" si="9"/>
        <v>16321.487982165152</v>
      </c>
      <c r="V37" s="132">
        <f t="shared" si="15"/>
        <v>4293.0384755378946</v>
      </c>
      <c r="W37" s="132">
        <f t="shared" si="16"/>
        <v>4371.181629340872</v>
      </c>
      <c r="X37" s="132">
        <f t="shared" si="17"/>
        <v>4426.1662324515673</v>
      </c>
      <c r="Y37" s="132">
        <f t="shared" si="18"/>
        <v>13090.386337330334</v>
      </c>
      <c r="Z37" s="138">
        <f t="shared" si="19"/>
        <v>5.6547808974829783</v>
      </c>
    </row>
    <row r="38" spans="1:26" outlineLevel="1" x14ac:dyDescent="0.3">
      <c r="A38" s="98" t="s">
        <v>33</v>
      </c>
      <c r="B38" s="132">
        <f>VLOOKUP(A38,Iedz_sk!$B$5:$Y$123,15,FALSE)</f>
        <v>6475</v>
      </c>
      <c r="C38" s="132">
        <f>VLOOKUP(A38,Iedz_sk!$B$5:$Y$123,16,FALSE)</f>
        <v>6316</v>
      </c>
      <c r="D38" s="132">
        <f>VLOOKUP(A38,Iedz_sk!$B$5:$Y$123,17,FALSE)</f>
        <v>6156</v>
      </c>
      <c r="E38" s="133">
        <f>VLOOKUP($A38,IKP!$Q$6:$AC$124,11,FALSE)</f>
        <v>42578.960393007867</v>
      </c>
      <c r="F38" s="133">
        <f>VLOOKUP($A38,IKP!$Q$6:$AC$124,12,FALSE)</f>
        <v>44676.707969160969</v>
      </c>
      <c r="G38" s="133">
        <f>VLOOKUP($A38,IKP!$Q$6:$AC$124,13,FALSE)</f>
        <v>46286.637454596217</v>
      </c>
      <c r="H38" s="132">
        <f>((-0.0000000006)*IKP!$J$5 + 0.0461)*E38</f>
        <v>1169.0039096924829</v>
      </c>
      <c r="I38" s="132">
        <f>((-0.0000000006)*IKP!$K$5 + 0.0461)*F38</f>
        <v>1184.1145623567206</v>
      </c>
      <c r="J38" s="132">
        <f>((-0.0000000006)*IKP!$L$5 + 0.0461)*G38</f>
        <v>1192.3171147585076</v>
      </c>
      <c r="K38" s="132">
        <f t="shared" si="20"/>
        <v>280.56093832619587</v>
      </c>
      <c r="L38" s="132">
        <f t="shared" si="21"/>
        <v>284.18749496561293</v>
      </c>
      <c r="M38" s="132">
        <f t="shared" si="22"/>
        <v>286.15610754204187</v>
      </c>
      <c r="N38" s="137">
        <f>VLOOKUP(A38,NSAmaksa_2021!$A$4:$N$138,12,FALSE)</f>
        <v>125.3</v>
      </c>
      <c r="O38" s="137">
        <f>VLOOKUP(A38,NSAmaksa_2021!$A$4:$N$138,14,FALSE)</f>
        <v>58.473333333333329</v>
      </c>
      <c r="P38" s="132">
        <f t="shared" ref="P38:P69" si="23">H38*$AB$5*$N38</f>
        <v>87885.713930680868</v>
      </c>
      <c r="Q38" s="132">
        <f t="shared" ref="Q38:Q69" si="24">I38*$AB$5*$N38</f>
        <v>89021.732797978257</v>
      </c>
      <c r="R38" s="132">
        <f t="shared" ref="R38:R69" si="25">J38*$AB$5*$N38</f>
        <v>89638.400687544592</v>
      </c>
      <c r="S38" s="132">
        <f t="shared" ref="S38:S69" si="26">H38*$AB$5*(1-$AB$6)*$N38+K38*$O38</f>
        <v>69136.761625468935</v>
      </c>
      <c r="T38" s="132">
        <f t="shared" ref="T38:T69" si="27">I38*$AB$5*(1-$AB$6)*$N38+L38*$O38</f>
        <v>70030.429801076214</v>
      </c>
      <c r="U38" s="132">
        <f t="shared" ref="U38:U69" si="28">J38*$AB$5*(1-$AB$6)*$N38+M38*$O38</f>
        <v>70515.54187420175</v>
      </c>
      <c r="V38" s="132">
        <f t="shared" si="15"/>
        <v>18748.952305211933</v>
      </c>
      <c r="W38" s="132">
        <f t="shared" si="16"/>
        <v>18991.302996902043</v>
      </c>
      <c r="X38" s="132">
        <f t="shared" si="17"/>
        <v>19122.858813342842</v>
      </c>
      <c r="Y38" s="132">
        <f t="shared" si="18"/>
        <v>56863.114115456818</v>
      </c>
      <c r="Z38" s="138">
        <f t="shared" si="19"/>
        <v>9.0088244940192919</v>
      </c>
    </row>
    <row r="39" spans="1:26" outlineLevel="1" x14ac:dyDescent="0.3">
      <c r="A39" s="98" t="s">
        <v>34</v>
      </c>
      <c r="B39" s="132">
        <f>VLOOKUP(A39,Iedz_sk!$B$5:$Y$123,15,FALSE)</f>
        <v>19553</v>
      </c>
      <c r="C39" s="132">
        <f>VLOOKUP(A39,Iedz_sk!$B$5:$Y$123,16,FALSE)</f>
        <v>18967</v>
      </c>
      <c r="D39" s="132">
        <f>VLOOKUP(A39,Iedz_sk!$B$5:$Y$123,17,FALSE)</f>
        <v>18381</v>
      </c>
      <c r="E39" s="133">
        <f>VLOOKUP($A39,IKP!$Q$6:$AC$124,11,FALSE)</f>
        <v>128578.59653505526</v>
      </c>
      <c r="F39" s="133">
        <f>VLOOKUP($A39,IKP!$Q$6:$AC$124,12,FALSE)</f>
        <v>134164.52185735846</v>
      </c>
      <c r="G39" s="133">
        <f>VLOOKUP($A39,IKP!$Q$6:$AC$124,13,FALSE)</f>
        <v>138205.76397870909</v>
      </c>
      <c r="H39" s="132">
        <f>((-0.0000000006)*IKP!$J$5 + 0.0461)*E39</f>
        <v>3530.1209955547674</v>
      </c>
      <c r="I39" s="132">
        <f>((-0.0000000006)*IKP!$K$5 + 0.0461)*F39</f>
        <v>3555.9057796421657</v>
      </c>
      <c r="J39" s="132">
        <f>((-0.0000000006)*IKP!$L$5 + 0.0461)*G39</f>
        <v>3560.1008587355641</v>
      </c>
      <c r="K39" s="132">
        <f t="shared" si="20"/>
        <v>847.22903893314424</v>
      </c>
      <c r="L39" s="132">
        <f t="shared" si="21"/>
        <v>853.41738711411983</v>
      </c>
      <c r="M39" s="132">
        <f t="shared" si="22"/>
        <v>854.42420609653539</v>
      </c>
      <c r="N39" s="137">
        <f>VLOOKUP(A39,NSAmaksa_2021!$A$4:$N$138,12,FALSE)</f>
        <v>84.5</v>
      </c>
      <c r="O39" s="137">
        <f>VLOOKUP(A39,NSAmaksa_2021!$A$4:$N$138,14,FALSE)</f>
        <v>39.43333333333333</v>
      </c>
      <c r="P39" s="132">
        <f t="shared" si="23"/>
        <v>178977.13447462671</v>
      </c>
      <c r="Q39" s="132">
        <f t="shared" si="24"/>
        <v>180284.42302785782</v>
      </c>
      <c r="R39" s="132">
        <f t="shared" si="25"/>
        <v>180497.11353789308</v>
      </c>
      <c r="S39" s="132">
        <f t="shared" si="26"/>
        <v>140795.34578670631</v>
      </c>
      <c r="T39" s="132">
        <f t="shared" si="27"/>
        <v>141823.74611524813</v>
      </c>
      <c r="U39" s="132">
        <f t="shared" si="28"/>
        <v>141991.06264980923</v>
      </c>
      <c r="V39" s="132">
        <f t="shared" si="15"/>
        <v>38181.788687920402</v>
      </c>
      <c r="W39" s="132">
        <f t="shared" si="16"/>
        <v>38460.676912609691</v>
      </c>
      <c r="X39" s="132">
        <f t="shared" si="17"/>
        <v>38506.050888083846</v>
      </c>
      <c r="Y39" s="132">
        <f t="shared" si="18"/>
        <v>115148.51648861394</v>
      </c>
      <c r="Z39" s="138">
        <f t="shared" si="19"/>
        <v>6.0753844353122926</v>
      </c>
    </row>
    <row r="40" spans="1:26" outlineLevel="1" x14ac:dyDescent="0.3">
      <c r="A40" s="98" t="s">
        <v>35</v>
      </c>
      <c r="B40" s="132">
        <f>VLOOKUP(A40,Iedz_sk!$B$5:$Y$123,15,FALSE)</f>
        <v>19219</v>
      </c>
      <c r="C40" s="132">
        <f>VLOOKUP(A40,Iedz_sk!$B$5:$Y$123,16,FALSE)</f>
        <v>18842</v>
      </c>
      <c r="D40" s="132">
        <f>VLOOKUP(A40,Iedz_sk!$B$5:$Y$123,17,FALSE)</f>
        <v>18464</v>
      </c>
      <c r="E40" s="133">
        <f>VLOOKUP($A40,IKP!$Q$6:$AC$124,11,FALSE)</f>
        <v>164018.81502434998</v>
      </c>
      <c r="F40" s="133">
        <f>VLOOKUP($A40,IKP!$Q$6:$AC$124,12,FALSE)</f>
        <v>171796.82331590465</v>
      </c>
      <c r="G40" s="133">
        <f>VLOOKUP($A40,IKP!$Q$6:$AC$124,13,FALSE)</f>
        <v>177686.95631881291</v>
      </c>
      <c r="H40" s="132">
        <f>((-0.0000000006)*IKP!$J$5 + 0.0461)*E40</f>
        <v>4503.1309890337243</v>
      </c>
      <c r="I40" s="132">
        <f>((-0.0000000006)*IKP!$K$5 + 0.0461)*F40</f>
        <v>4553.3149039407099</v>
      </c>
      <c r="J40" s="132">
        <f>((-0.0000000006)*IKP!$L$5 + 0.0461)*G40</f>
        <v>4577.1136280116752</v>
      </c>
      <c r="K40" s="132">
        <f t="shared" si="20"/>
        <v>1080.7514373680938</v>
      </c>
      <c r="L40" s="132">
        <f t="shared" si="21"/>
        <v>1092.7955769457703</v>
      </c>
      <c r="M40" s="132">
        <f t="shared" si="22"/>
        <v>1098.5072707228021</v>
      </c>
      <c r="N40" s="137">
        <f>VLOOKUP(A40,NSAmaksa_2021!$A$4:$N$138,12,FALSE)</f>
        <v>120.8</v>
      </c>
      <c r="O40" s="137">
        <f>VLOOKUP(A40,NSAmaksa_2021!$A$4:$N$138,14,FALSE)</f>
        <v>56.373333333333328</v>
      </c>
      <c r="P40" s="132">
        <f t="shared" si="23"/>
        <v>326386.93408516434</v>
      </c>
      <c r="Q40" s="132">
        <f t="shared" si="24"/>
        <v>330024.26423762261</v>
      </c>
      <c r="R40" s="132">
        <f t="shared" si="25"/>
        <v>331749.19575828622</v>
      </c>
      <c r="S40" s="132">
        <f t="shared" si="26"/>
        <v>256757.72148032923</v>
      </c>
      <c r="T40" s="132">
        <f t="shared" si="27"/>
        <v>259619.08786692983</v>
      </c>
      <c r="U40" s="132">
        <f t="shared" si="28"/>
        <v>260976.0339965185</v>
      </c>
      <c r="V40" s="132">
        <f t="shared" si="15"/>
        <v>69629.212604835106</v>
      </c>
      <c r="W40" s="132">
        <f t="shared" si="16"/>
        <v>70405.176370692789</v>
      </c>
      <c r="X40" s="132">
        <f t="shared" si="17"/>
        <v>70773.161761767726</v>
      </c>
      <c r="Y40" s="132">
        <f t="shared" si="18"/>
        <v>210807.55073729562</v>
      </c>
      <c r="Z40" s="138">
        <f t="shared" si="19"/>
        <v>11.192579930853192</v>
      </c>
    </row>
    <row r="41" spans="1:26" outlineLevel="1" x14ac:dyDescent="0.3">
      <c r="A41" s="98" t="s">
        <v>36</v>
      </c>
      <c r="B41" s="132">
        <f>VLOOKUP(A41,Iedz_sk!$B$5:$Y$123,15,FALSE)</f>
        <v>3487</v>
      </c>
      <c r="C41" s="132">
        <f>VLOOKUP(A41,Iedz_sk!$B$5:$Y$123,16,FALSE)</f>
        <v>3431</v>
      </c>
      <c r="D41" s="132">
        <f>VLOOKUP(A41,Iedz_sk!$B$5:$Y$123,17,FALSE)</f>
        <v>3374</v>
      </c>
      <c r="E41" s="133">
        <f>VLOOKUP($A41,IKP!$Q$6:$AC$124,11,FALSE)</f>
        <v>33409.523862990034</v>
      </c>
      <c r="F41" s="133">
        <f>VLOOKUP($A41,IKP!$Q$6:$AC$124,12,FALSE)</f>
        <v>35176.846975654684</v>
      </c>
      <c r="G41" s="133">
        <f>VLOOKUP($A41,IKP!$Q$6:$AC$124,13,FALSE)</f>
        <v>36570.730089855097</v>
      </c>
      <c r="H41" s="132">
        <f>((-0.0000000006)*IKP!$J$5 + 0.0461)*E41</f>
        <v>917.25734156753254</v>
      </c>
      <c r="I41" s="132">
        <f>((-0.0000000006)*IKP!$K$5 + 0.0461)*F41</f>
        <v>932.3295886173803</v>
      </c>
      <c r="J41" s="132">
        <f>((-0.0000000006)*IKP!$L$5 + 0.0461)*G41</f>
        <v>942.04093844838894</v>
      </c>
      <c r="K41" s="132">
        <f t="shared" si="20"/>
        <v>220.14176197620782</v>
      </c>
      <c r="L41" s="132">
        <f t="shared" si="21"/>
        <v>223.75910126817129</v>
      </c>
      <c r="M41" s="132">
        <f t="shared" si="22"/>
        <v>226.08982522761335</v>
      </c>
      <c r="N41" s="137">
        <f>VLOOKUP(A41,NSAmaksa_2021!$A$4:$N$138,12,FALSE)</f>
        <v>86.05</v>
      </c>
      <c r="O41" s="137">
        <f>VLOOKUP(A41,NSAmaksa_2021!$A$4:$N$138,14,FALSE)</f>
        <v>63.533333333333331</v>
      </c>
      <c r="P41" s="132">
        <f t="shared" si="23"/>
        <v>47357.996545131704</v>
      </c>
      <c r="Q41" s="132">
        <f t="shared" si="24"/>
        <v>48136.176660315337</v>
      </c>
      <c r="R41" s="132">
        <f t="shared" si="25"/>
        <v>48637.573652090323</v>
      </c>
      <c r="S41" s="132">
        <f t="shared" si="26"/>
        <v>42401.137871300758</v>
      </c>
      <c r="T41" s="132">
        <f t="shared" si="27"/>
        <v>43097.867563427018</v>
      </c>
      <c r="U41" s="132">
        <f t="shared" si="28"/>
        <v>43546.784420715223</v>
      </c>
      <c r="V41" s="132">
        <f t="shared" si="15"/>
        <v>4956.8586738309459</v>
      </c>
      <c r="W41" s="132">
        <f t="shared" si="16"/>
        <v>5038.3090968883189</v>
      </c>
      <c r="X41" s="132">
        <f t="shared" si="17"/>
        <v>5090.7892313750999</v>
      </c>
      <c r="Y41" s="132">
        <f t="shared" si="18"/>
        <v>15085.957002094365</v>
      </c>
      <c r="Z41" s="138">
        <f t="shared" si="19"/>
        <v>4.3988209974308354</v>
      </c>
    </row>
    <row r="42" spans="1:26" outlineLevel="1" x14ac:dyDescent="0.3">
      <c r="A42" s="98" t="s">
        <v>37</v>
      </c>
      <c r="B42" s="132">
        <f>VLOOKUP(A42,Iedz_sk!$B$5:$Y$123,15,FALSE)</f>
        <v>2620</v>
      </c>
      <c r="C42" s="132">
        <f>VLOOKUP(A42,Iedz_sk!$B$5:$Y$123,16,FALSE)</f>
        <v>2563</v>
      </c>
      <c r="D42" s="132">
        <f>VLOOKUP(A42,Iedz_sk!$B$5:$Y$123,17,FALSE)</f>
        <v>2506</v>
      </c>
      <c r="E42" s="133">
        <f>VLOOKUP($A42,IKP!$Q$6:$AC$124,11,FALSE)</f>
        <v>25102.653433046715</v>
      </c>
      <c r="F42" s="133">
        <f>VLOOKUP($A42,IKP!$Q$6:$AC$124,12,FALSE)</f>
        <v>26277.545554824526</v>
      </c>
      <c r="G42" s="133">
        <f>VLOOKUP($A42,IKP!$Q$6:$AC$124,13,FALSE)</f>
        <v>27162.49247337785</v>
      </c>
      <c r="H42" s="132">
        <f>((-0.0000000006)*IKP!$J$5 + 0.0461)*E42</f>
        <v>689.19249638856763</v>
      </c>
      <c r="I42" s="132">
        <f>((-0.0000000006)*IKP!$K$5 + 0.0461)*F42</f>
        <v>696.46188738745138</v>
      </c>
      <c r="J42" s="132">
        <f>((-0.0000000006)*IKP!$L$5 + 0.0461)*G42</f>
        <v>699.69015760274522</v>
      </c>
      <c r="K42" s="132">
        <f t="shared" si="20"/>
        <v>165.40619913325625</v>
      </c>
      <c r="L42" s="132">
        <f t="shared" si="21"/>
        <v>167.15085297298833</v>
      </c>
      <c r="M42" s="132">
        <f t="shared" si="22"/>
        <v>167.92563782465888</v>
      </c>
      <c r="N42" s="137">
        <f>VLOOKUP(A42,NSAmaksa_2021!$A$4:$N$138,12,FALSE)</f>
        <v>101.5795</v>
      </c>
      <c r="O42" s="137">
        <f>VLOOKUP(A42,NSAmaksa_2021!$A$4:$N$138,14,FALSE)</f>
        <v>47.403766666666662</v>
      </c>
      <c r="P42" s="132">
        <f t="shared" si="23"/>
        <v>42004.697512141502</v>
      </c>
      <c r="Q42" s="132">
        <f t="shared" si="24"/>
        <v>42447.750173924171</v>
      </c>
      <c r="R42" s="132">
        <f t="shared" si="25"/>
        <v>42644.505818524827</v>
      </c>
      <c r="S42" s="132">
        <f t="shared" si="26"/>
        <v>33043.695376217984</v>
      </c>
      <c r="T42" s="132">
        <f t="shared" si="27"/>
        <v>33392.230136820348</v>
      </c>
      <c r="U42" s="132">
        <f t="shared" si="28"/>
        <v>33547.0112439062</v>
      </c>
      <c r="V42" s="132">
        <f t="shared" si="15"/>
        <v>8961.0021359235179</v>
      </c>
      <c r="W42" s="132">
        <f t="shared" si="16"/>
        <v>9055.5200371038227</v>
      </c>
      <c r="X42" s="132">
        <f t="shared" si="17"/>
        <v>9097.4945746186277</v>
      </c>
      <c r="Y42" s="132">
        <f t="shared" si="18"/>
        <v>27114.016747645968</v>
      </c>
      <c r="Z42" s="138">
        <f t="shared" si="19"/>
        <v>10.583687046834058</v>
      </c>
    </row>
    <row r="43" spans="1:26" outlineLevel="1" x14ac:dyDescent="0.3">
      <c r="A43" s="98" t="s">
        <v>38</v>
      </c>
      <c r="B43" s="132">
        <f>VLOOKUP(A43,Iedz_sk!$B$5:$Y$123,15,FALSE)</f>
        <v>7147</v>
      </c>
      <c r="C43" s="132">
        <f>VLOOKUP(A43,Iedz_sk!$B$5:$Y$123,16,FALSE)</f>
        <v>7052</v>
      </c>
      <c r="D43" s="132">
        <f>VLOOKUP(A43,Iedz_sk!$B$5:$Y$123,17,FALSE)</f>
        <v>6956</v>
      </c>
      <c r="E43" s="133">
        <f>VLOOKUP($A43,IKP!$Q$6:$AC$124,11,FALSE)</f>
        <v>92718.887462982471</v>
      </c>
      <c r="F43" s="133">
        <f>VLOOKUP($A43,IKP!$Q$6:$AC$124,12,FALSE)</f>
        <v>96449.754703222963</v>
      </c>
      <c r="G43" s="133">
        <f>VLOOKUP($A43,IKP!$Q$6:$AC$124,13,FALSE)</f>
        <v>99058.463293900029</v>
      </c>
      <c r="H43" s="132">
        <f>((-0.0000000006)*IKP!$J$5 + 0.0461)*E43</f>
        <v>2545.5939023904161</v>
      </c>
      <c r="I43" s="132">
        <f>((-0.0000000006)*IKP!$K$5 + 0.0461)*F43</f>
        <v>2556.310978836088</v>
      </c>
      <c r="J43" s="132">
        <f>((-0.0000000006)*IKP!$L$5 + 0.0461)*G43</f>
        <v>2551.6889461424098</v>
      </c>
      <c r="K43" s="132">
        <f t="shared" si="20"/>
        <v>610.94253657369984</v>
      </c>
      <c r="L43" s="132">
        <f t="shared" si="21"/>
        <v>613.51463492066114</v>
      </c>
      <c r="M43" s="132">
        <f t="shared" si="22"/>
        <v>612.40534707417839</v>
      </c>
      <c r="N43" s="137">
        <f>VLOOKUP(A43,NSAmaksa_2021!$A$4:$N$138,12,FALSE)</f>
        <v>86.05</v>
      </c>
      <c r="O43" s="137">
        <f>VLOOKUP(A43,NSAmaksa_2021!$A$4:$N$138,14,FALSE)</f>
        <v>63.533333333333331</v>
      </c>
      <c r="P43" s="132">
        <f t="shared" si="23"/>
        <v>131429.01318041718</v>
      </c>
      <c r="Q43" s="132">
        <f t="shared" si="24"/>
        <v>131982.33583730721</v>
      </c>
      <c r="R43" s="132">
        <f t="shared" si="25"/>
        <v>131743.70028933263</v>
      </c>
      <c r="S43" s="132">
        <f t="shared" si="26"/>
        <v>117672.62373189937</v>
      </c>
      <c r="T43" s="132">
        <f t="shared" si="27"/>
        <v>118168.03130767701</v>
      </c>
      <c r="U43" s="132">
        <f t="shared" si="28"/>
        <v>117954.37322437903</v>
      </c>
      <c r="V43" s="132">
        <f t="shared" si="15"/>
        <v>13756.389448517817</v>
      </c>
      <c r="W43" s="132">
        <f t="shared" si="16"/>
        <v>13814.304529630201</v>
      </c>
      <c r="X43" s="132">
        <f t="shared" si="17"/>
        <v>13789.327064953599</v>
      </c>
      <c r="Y43" s="132">
        <f t="shared" si="18"/>
        <v>41360.021043101617</v>
      </c>
      <c r="Z43" s="138">
        <f t="shared" si="19"/>
        <v>5.8660626921770884</v>
      </c>
    </row>
    <row r="44" spans="1:26" outlineLevel="1" x14ac:dyDescent="0.3">
      <c r="A44" s="98" t="s">
        <v>39</v>
      </c>
      <c r="B44" s="132">
        <f>VLOOKUP(A44,Iedz_sk!$B$5:$Y$123,15,FALSE)</f>
        <v>2600</v>
      </c>
      <c r="C44" s="132">
        <f>VLOOKUP(A44,Iedz_sk!$B$5:$Y$123,16,FALSE)</f>
        <v>2533</v>
      </c>
      <c r="D44" s="132">
        <f>VLOOKUP(A44,Iedz_sk!$B$5:$Y$123,17,FALSE)</f>
        <v>2466</v>
      </c>
      <c r="E44" s="133">
        <f>VLOOKUP($A44,IKP!$Q$6:$AC$124,11,FALSE)</f>
        <v>24552.54856062627</v>
      </c>
      <c r="F44" s="133">
        <f>VLOOKUP($A44,IKP!$Q$6:$AC$124,12,FALSE)</f>
        <v>25735.881762244117</v>
      </c>
      <c r="G44" s="133">
        <f>VLOOKUP($A44,IKP!$Q$6:$AC$124,13,FALSE)</f>
        <v>26638.562675829919</v>
      </c>
      <c r="H44" s="132">
        <f>((-0.0000000006)*IKP!$J$5 + 0.0461)*E44</f>
        <v>674.08938582258054</v>
      </c>
      <c r="I44" s="132">
        <f>((-0.0000000006)*IKP!$K$5 + 0.0461)*F44</f>
        <v>682.10559271286229</v>
      </c>
      <c r="J44" s="132">
        <f>((-0.0000000006)*IKP!$L$5 + 0.0461)*G44</f>
        <v>686.19402785771604</v>
      </c>
      <c r="K44" s="132">
        <f t="shared" si="20"/>
        <v>161.78145259741933</v>
      </c>
      <c r="L44" s="132">
        <f t="shared" si="21"/>
        <v>163.70534225108693</v>
      </c>
      <c r="M44" s="132">
        <f t="shared" si="22"/>
        <v>164.68656668585186</v>
      </c>
      <c r="N44" s="137">
        <f>VLOOKUP(A44,NSAmaksa_2021!$A$4:$N$138,12,FALSE)</f>
        <v>124.8</v>
      </c>
      <c r="O44" s="137">
        <f>VLOOKUP(A44,NSAmaksa_2021!$A$4:$N$138,14,FALSE)</f>
        <v>58.239999999999995</v>
      </c>
      <c r="P44" s="132">
        <f t="shared" si="23"/>
        <v>50475.81321039483</v>
      </c>
      <c r="Q44" s="132">
        <f t="shared" si="24"/>
        <v>51076.066782339127</v>
      </c>
      <c r="R44" s="132">
        <f t="shared" si="25"/>
        <v>51382.208805985771</v>
      </c>
      <c r="S44" s="132">
        <f t="shared" si="26"/>
        <v>39707.639725510599</v>
      </c>
      <c r="T44" s="132">
        <f t="shared" si="27"/>
        <v>40179.839202106778</v>
      </c>
      <c r="U44" s="132">
        <f t="shared" si="28"/>
        <v>40420.670927375468</v>
      </c>
      <c r="V44" s="132">
        <f t="shared" si="15"/>
        <v>10768.173484884232</v>
      </c>
      <c r="W44" s="132">
        <f t="shared" si="16"/>
        <v>10896.227580232349</v>
      </c>
      <c r="X44" s="132">
        <f t="shared" si="17"/>
        <v>10961.537878610303</v>
      </c>
      <c r="Y44" s="132">
        <f t="shared" si="18"/>
        <v>32625.938943726884</v>
      </c>
      <c r="Z44" s="138">
        <f t="shared" si="19"/>
        <v>12.888381743944169</v>
      </c>
    </row>
    <row r="45" spans="1:26" outlineLevel="1" x14ac:dyDescent="0.3">
      <c r="A45" s="98" t="s">
        <v>40</v>
      </c>
      <c r="B45" s="132">
        <f>VLOOKUP(A45,Iedz_sk!$B$5:$Y$123,15,FALSE)</f>
        <v>9425</v>
      </c>
      <c r="C45" s="132">
        <f>VLOOKUP(A45,Iedz_sk!$B$5:$Y$123,16,FALSE)</f>
        <v>9469</v>
      </c>
      <c r="D45" s="132">
        <f>VLOOKUP(A45,Iedz_sk!$B$5:$Y$123,17,FALSE)</f>
        <v>9512</v>
      </c>
      <c r="E45" s="133">
        <f>VLOOKUP($A45,IKP!$Q$6:$AC$124,11,FALSE)</f>
        <v>122271.65444782563</v>
      </c>
      <c r="F45" s="133">
        <f>VLOOKUP($A45,IKP!$Q$6:$AC$124,12,FALSE)</f>
        <v>129506.90971140361</v>
      </c>
      <c r="G45" s="133">
        <f>VLOOKUP($A45,IKP!$Q$6:$AC$124,13,FALSE)</f>
        <v>135457.74911609793</v>
      </c>
      <c r="H45" s="132">
        <f>((-0.0000000006)*IKP!$J$5 + 0.0461)*E45</f>
        <v>3356.9641150174434</v>
      </c>
      <c r="I45" s="132">
        <f>((-0.0000000006)*IKP!$K$5 + 0.0461)*F45</f>
        <v>3432.4601047360916</v>
      </c>
      <c r="J45" s="132">
        <f>((-0.0000000006)*IKP!$L$5 + 0.0461)*G45</f>
        <v>3489.3135790262513</v>
      </c>
      <c r="K45" s="132">
        <f t="shared" si="20"/>
        <v>805.67138760418641</v>
      </c>
      <c r="L45" s="132">
        <f t="shared" si="21"/>
        <v>823.79042513666207</v>
      </c>
      <c r="M45" s="132">
        <f t="shared" si="22"/>
        <v>837.43525896630035</v>
      </c>
      <c r="N45" s="137">
        <f>VLOOKUP(A45,NSAmaksa_2021!$A$4:$N$138,12,FALSE)</f>
        <v>89.055999999999997</v>
      </c>
      <c r="O45" s="137">
        <f>VLOOKUP(A45,NSAmaksa_2021!$A$4:$N$138,14,FALSE)</f>
        <v>44.8</v>
      </c>
      <c r="P45" s="132">
        <f t="shared" si="23"/>
        <v>179374.67773619606</v>
      </c>
      <c r="Q45" s="132">
        <f t="shared" si="24"/>
        <v>183408.70025242641</v>
      </c>
      <c r="R45" s="132">
        <f t="shared" si="25"/>
        <v>186446.5860562571</v>
      </c>
      <c r="S45" s="132">
        <f t="shared" si="26"/>
        <v>143718.88480638515</v>
      </c>
      <c r="T45" s="132">
        <f t="shared" si="27"/>
        <v>146951.0311975783</v>
      </c>
      <c r="U45" s="132">
        <f t="shared" si="28"/>
        <v>149385.05123544449</v>
      </c>
      <c r="V45" s="132">
        <f t="shared" si="15"/>
        <v>35655.792929810908</v>
      </c>
      <c r="W45" s="132">
        <f t="shared" si="16"/>
        <v>36457.669054848113</v>
      </c>
      <c r="X45" s="132">
        <f t="shared" si="17"/>
        <v>37061.534820812609</v>
      </c>
      <c r="Y45" s="132">
        <f t="shared" si="18"/>
        <v>109174.99680547163</v>
      </c>
      <c r="Z45" s="138">
        <f t="shared" si="19"/>
        <v>11.529613790006927</v>
      </c>
    </row>
    <row r="46" spans="1:26" outlineLevel="1" x14ac:dyDescent="0.3">
      <c r="A46" s="98" t="s">
        <v>41</v>
      </c>
      <c r="B46" s="132">
        <f>VLOOKUP(A46,Iedz_sk!$B$5:$Y$123,15,FALSE)</f>
        <v>8329</v>
      </c>
      <c r="C46" s="132">
        <f>VLOOKUP(A46,Iedz_sk!$B$5:$Y$123,16,FALSE)</f>
        <v>8186</v>
      </c>
      <c r="D46" s="132">
        <f>VLOOKUP(A46,Iedz_sk!$B$5:$Y$123,17,FALSE)</f>
        <v>8043</v>
      </c>
      <c r="E46" s="133">
        <f>VLOOKUP($A46,IKP!$Q$6:$AC$124,11,FALSE)</f>
        <v>79801.526886964159</v>
      </c>
      <c r="F46" s="133">
        <f>VLOOKUP($A46,IKP!$Q$6:$AC$124,12,FALSE)</f>
        <v>83928.204413497297</v>
      </c>
      <c r="G46" s="133">
        <f>VLOOKUP($A46,IKP!$Q$6:$AC$124,13,FALSE)</f>
        <v>87177.943720422205</v>
      </c>
      <c r="H46" s="132">
        <f>((-0.0000000006)*IKP!$J$5 + 0.0461)*E46</f>
        <v>2190.9482070306794</v>
      </c>
      <c r="I46" s="132">
        <f>((-0.0000000006)*IKP!$K$5 + 0.0461)*F46</f>
        <v>2224.438942705297</v>
      </c>
      <c r="J46" s="132">
        <f>((-0.0000000006)*IKP!$L$5 + 0.0461)*G46</f>
        <v>2245.65360638423</v>
      </c>
      <c r="K46" s="132">
        <f t="shared" si="20"/>
        <v>525.82756968736305</v>
      </c>
      <c r="L46" s="132">
        <f t="shared" si="21"/>
        <v>533.86534624927128</v>
      </c>
      <c r="M46" s="132">
        <f t="shared" si="22"/>
        <v>538.95686553221526</v>
      </c>
      <c r="N46" s="137">
        <f>VLOOKUP(A46,NSAmaksa_2021!$A$4:$N$138,12,FALSE)</f>
        <v>92.95</v>
      </c>
      <c r="O46" s="137">
        <f>VLOOKUP(A46,NSAmaksa_2021!$A$4:$N$138,14,FALSE)</f>
        <v>43.376666666666665</v>
      </c>
      <c r="P46" s="132">
        <f t="shared" si="23"/>
        <v>122189.18150610098</v>
      </c>
      <c r="Q46" s="132">
        <f t="shared" si="24"/>
        <v>124056.95983467442</v>
      </c>
      <c r="R46" s="132">
        <f t="shared" si="25"/>
        <v>125240.10162804852</v>
      </c>
      <c r="S46" s="132">
        <f t="shared" si="26"/>
        <v>96122.156118132785</v>
      </c>
      <c r="T46" s="132">
        <f t="shared" si="27"/>
        <v>97591.475069943874</v>
      </c>
      <c r="U46" s="132">
        <f t="shared" si="28"/>
        <v>98522.213280731492</v>
      </c>
      <c r="V46" s="132">
        <f t="shared" si="15"/>
        <v>26067.025387968199</v>
      </c>
      <c r="W46" s="132">
        <f t="shared" si="16"/>
        <v>26465.484764730543</v>
      </c>
      <c r="X46" s="132">
        <f t="shared" si="17"/>
        <v>26717.888347317028</v>
      </c>
      <c r="Y46" s="132">
        <f t="shared" si="18"/>
        <v>79250.39850001577</v>
      </c>
      <c r="Z46" s="138">
        <f t="shared" si="19"/>
        <v>9.6845693373488331</v>
      </c>
    </row>
    <row r="47" spans="1:26" outlineLevel="1" x14ac:dyDescent="0.3">
      <c r="A47" s="98" t="s">
        <v>42</v>
      </c>
      <c r="B47" s="132">
        <f>VLOOKUP(A47,Iedz_sk!$B$5:$Y$123,15,FALSE)</f>
        <v>19619</v>
      </c>
      <c r="C47" s="132">
        <f>VLOOKUP(A47,Iedz_sk!$B$5:$Y$123,16,FALSE)</f>
        <v>19190</v>
      </c>
      <c r="D47" s="132">
        <f>VLOOKUP(A47,Iedz_sk!$B$5:$Y$123,17,FALSE)</f>
        <v>18761</v>
      </c>
      <c r="E47" s="133">
        <f>VLOOKUP($A47,IKP!$Q$6:$AC$124,11,FALSE)</f>
        <v>185267.86546574108</v>
      </c>
      <c r="F47" s="133">
        <f>VLOOKUP($A47,IKP!$Q$6:$AC$124,12,FALSE)</f>
        <v>194974.95894886088</v>
      </c>
      <c r="G47" s="133">
        <f>VLOOKUP($A47,IKP!$Q$6:$AC$124,13,FALSE)</f>
        <v>202662.64167122671</v>
      </c>
      <c r="H47" s="132">
        <f>((-0.0000000006)*IKP!$J$5 + 0.0461)*E47</f>
        <v>5086.5229463281566</v>
      </c>
      <c r="I47" s="132">
        <f>((-0.0000000006)*IKP!$K$5 + 0.0461)*F47</f>
        <v>5167.629816091523</v>
      </c>
      <c r="J47" s="132">
        <f>((-0.0000000006)*IKP!$L$5 + 0.0461)*G47</f>
        <v>5220.4728940140349</v>
      </c>
      <c r="K47" s="132">
        <f t="shared" si="20"/>
        <v>1220.7655071187576</v>
      </c>
      <c r="L47" s="132">
        <f t="shared" si="21"/>
        <v>1240.2311558619656</v>
      </c>
      <c r="M47" s="132">
        <f t="shared" si="22"/>
        <v>1252.9134945633684</v>
      </c>
      <c r="N47" s="137">
        <f>VLOOKUP(A47,NSAmaksa_2021!$A$4:$N$138,12,FALSE)</f>
        <v>120.8</v>
      </c>
      <c r="O47" s="137">
        <f>VLOOKUP(A47,NSAmaksa_2021!$A$4:$N$138,14,FALSE)</f>
        <v>56.373333333333328</v>
      </c>
      <c r="P47" s="132">
        <f t="shared" si="23"/>
        <v>368671.18314986478</v>
      </c>
      <c r="Q47" s="132">
        <f t="shared" si="24"/>
        <v>374549.80907031358</v>
      </c>
      <c r="R47" s="132">
        <f t="shared" si="25"/>
        <v>378379.87535813724</v>
      </c>
      <c r="S47" s="132">
        <f t="shared" si="26"/>
        <v>290021.33074456028</v>
      </c>
      <c r="T47" s="132">
        <f t="shared" si="27"/>
        <v>294645.84980197996</v>
      </c>
      <c r="U47" s="132">
        <f t="shared" si="28"/>
        <v>297658.83528173459</v>
      </c>
      <c r="V47" s="132">
        <f t="shared" si="15"/>
        <v>78649.852405304497</v>
      </c>
      <c r="W47" s="132">
        <f t="shared" si="16"/>
        <v>79903.959268333623</v>
      </c>
      <c r="X47" s="132">
        <f t="shared" si="17"/>
        <v>80721.040076402656</v>
      </c>
      <c r="Y47" s="132">
        <f t="shared" si="18"/>
        <v>239274.85175004078</v>
      </c>
      <c r="Z47" s="138">
        <f t="shared" si="19"/>
        <v>12.475292585484421</v>
      </c>
    </row>
    <row r="48" spans="1:26" outlineLevel="1" x14ac:dyDescent="0.3">
      <c r="A48" s="98" t="s">
        <v>43</v>
      </c>
      <c r="B48" s="132">
        <f>VLOOKUP(A48,Iedz_sk!$B$5:$Y$123,15,FALSE)</f>
        <v>8411</v>
      </c>
      <c r="C48" s="132">
        <f>VLOOKUP(A48,Iedz_sk!$B$5:$Y$123,16,FALSE)</f>
        <v>8295</v>
      </c>
      <c r="D48" s="132">
        <f>VLOOKUP(A48,Iedz_sk!$B$5:$Y$123,17,FALSE)</f>
        <v>8179</v>
      </c>
      <c r="E48" s="133">
        <f>VLOOKUP($A48,IKP!$Q$6:$AC$124,11,FALSE)</f>
        <v>71781.167239180388</v>
      </c>
      <c r="F48" s="133">
        <f>VLOOKUP($A48,IKP!$Q$6:$AC$124,12,FALSE)</f>
        <v>75631.814531654236</v>
      </c>
      <c r="G48" s="133">
        <f>VLOOKUP($A48,IKP!$Q$6:$AC$124,13,FALSE)</f>
        <v>78710.009517524421</v>
      </c>
      <c r="H48" s="132">
        <f>((-0.0000000006)*IKP!$J$5 + 0.0461)*E48</f>
        <v>1970.7495056331059</v>
      </c>
      <c r="I48" s="132">
        <f>((-0.0000000006)*IKP!$K$5 + 0.0461)*F48</f>
        <v>2004.5508506627846</v>
      </c>
      <c r="J48" s="132">
        <f>((-0.0000000006)*IKP!$L$5 + 0.0461)*G48</f>
        <v>2027.5244997566886</v>
      </c>
      <c r="K48" s="132">
        <f t="shared" si="20"/>
        <v>472.97988135194544</v>
      </c>
      <c r="L48" s="132">
        <f t="shared" si="21"/>
        <v>481.09220415906827</v>
      </c>
      <c r="M48" s="132">
        <f t="shared" si="22"/>
        <v>486.60587994160528</v>
      </c>
      <c r="N48" s="137">
        <f>VLOOKUP(A48,NSAmaksa_2021!$A$4:$N$138,12,FALSE)</f>
        <v>104.64166666666667</v>
      </c>
      <c r="O48" s="137">
        <f>VLOOKUP(A48,NSAmaksa_2021!$A$4:$N$138,14,FALSE)</f>
        <v>48.832777777777771</v>
      </c>
      <c r="P48" s="132">
        <f t="shared" si="23"/>
        <v>123733.50771117453</v>
      </c>
      <c r="Q48" s="132">
        <f t="shared" si="24"/>
        <v>125855.72515886293</v>
      </c>
      <c r="R48" s="132">
        <f t="shared" si="25"/>
        <v>127298.12571722368</v>
      </c>
      <c r="S48" s="132">
        <f t="shared" si="26"/>
        <v>97337.026066123974</v>
      </c>
      <c r="T48" s="132">
        <f t="shared" si="27"/>
        <v>99006.503791638839</v>
      </c>
      <c r="U48" s="132">
        <f t="shared" si="28"/>
        <v>100141.19223088262</v>
      </c>
      <c r="V48" s="132">
        <f t="shared" si="15"/>
        <v>26396.48164505056</v>
      </c>
      <c r="W48" s="132">
        <f t="shared" si="16"/>
        <v>26849.22136722409</v>
      </c>
      <c r="X48" s="132">
        <f t="shared" si="17"/>
        <v>27156.933486341062</v>
      </c>
      <c r="Y48" s="132">
        <f t="shared" si="18"/>
        <v>80402.636498615713</v>
      </c>
      <c r="Z48" s="138">
        <f t="shared" si="19"/>
        <v>9.6954488266917451</v>
      </c>
    </row>
    <row r="49" spans="1:26" outlineLevel="1" x14ac:dyDescent="0.3">
      <c r="A49" s="98" t="s">
        <v>44</v>
      </c>
      <c r="B49" s="132">
        <f>VLOOKUP(A49,Iedz_sk!$B$5:$Y$123,15,FALSE)</f>
        <v>9967</v>
      </c>
      <c r="C49" s="132">
        <f>VLOOKUP(A49,Iedz_sk!$B$5:$Y$123,16,FALSE)</f>
        <v>10074</v>
      </c>
      <c r="D49" s="132">
        <f>VLOOKUP(A49,Iedz_sk!$B$5:$Y$123,17,FALSE)</f>
        <v>10181</v>
      </c>
      <c r="E49" s="133">
        <f>VLOOKUP($A49,IKP!$Q$6:$AC$124,11,FALSE)</f>
        <v>129303.08539856531</v>
      </c>
      <c r="F49" s="133">
        <f>VLOOKUP($A49,IKP!$Q$6:$AC$124,12,FALSE)</f>
        <v>137781.4561656648</v>
      </c>
      <c r="G49" s="133">
        <f>VLOOKUP($A49,IKP!$Q$6:$AC$124,13,FALSE)</f>
        <v>144984.79223622716</v>
      </c>
      <c r="H49" s="132">
        <f>((-0.0000000006)*IKP!$J$5 + 0.0461)*E49</f>
        <v>3550.0118126661919</v>
      </c>
      <c r="I49" s="132">
        <f>((-0.0000000006)*IKP!$K$5 + 0.0461)*F49</f>
        <v>3651.769257061082</v>
      </c>
      <c r="J49" s="132">
        <f>((-0.0000000006)*IKP!$L$5 + 0.0461)*G49</f>
        <v>3734.7247212012471</v>
      </c>
      <c r="K49" s="132">
        <f t="shared" si="20"/>
        <v>852.00283503988601</v>
      </c>
      <c r="L49" s="132">
        <f t="shared" si="21"/>
        <v>876.42462169465978</v>
      </c>
      <c r="M49" s="132">
        <f t="shared" si="22"/>
        <v>896.33393308829932</v>
      </c>
      <c r="N49" s="137">
        <f>VLOOKUP(A49,NSAmaksa_2021!$A$4:$N$138,12,FALSE)</f>
        <v>77.599999999999994</v>
      </c>
      <c r="O49" s="137">
        <f>VLOOKUP(A49,NSAmaksa_2021!$A$4:$N$138,14,FALSE)</f>
        <v>36.213333333333331</v>
      </c>
      <c r="P49" s="132">
        <f t="shared" si="23"/>
        <v>165288.54999773786</v>
      </c>
      <c r="Q49" s="132">
        <f t="shared" si="24"/>
        <v>170026.37660876397</v>
      </c>
      <c r="R49" s="132">
        <f t="shared" si="25"/>
        <v>173888.78301913006</v>
      </c>
      <c r="S49" s="132">
        <f t="shared" si="26"/>
        <v>130026.99266488712</v>
      </c>
      <c r="T49" s="132">
        <f t="shared" si="27"/>
        <v>133754.08293222764</v>
      </c>
      <c r="U49" s="132">
        <f t="shared" si="28"/>
        <v>136792.50930838229</v>
      </c>
      <c r="V49" s="132">
        <f t="shared" si="15"/>
        <v>35261.557332850745</v>
      </c>
      <c r="W49" s="132">
        <f t="shared" si="16"/>
        <v>36272.293676536327</v>
      </c>
      <c r="X49" s="132">
        <f t="shared" si="17"/>
        <v>37096.273710747773</v>
      </c>
      <c r="Y49" s="132">
        <f t="shared" si="18"/>
        <v>108630.12472013485</v>
      </c>
      <c r="Z49" s="138">
        <f t="shared" si="19"/>
        <v>10.782092433171092</v>
      </c>
    </row>
    <row r="50" spans="1:26" outlineLevel="1" x14ac:dyDescent="0.3">
      <c r="A50" s="98" t="s">
        <v>45</v>
      </c>
      <c r="B50" s="132">
        <f>VLOOKUP(A50,Iedz_sk!$B$5:$Y$123,15,FALSE)</f>
        <v>6374</v>
      </c>
      <c r="C50" s="132">
        <f>VLOOKUP(A50,Iedz_sk!$B$5:$Y$123,16,FALSE)</f>
        <v>6227</v>
      </c>
      <c r="D50" s="132">
        <f>VLOOKUP(A50,Iedz_sk!$B$5:$Y$123,17,FALSE)</f>
        <v>6081</v>
      </c>
      <c r="E50" s="133">
        <f>VLOOKUP($A50,IKP!$Q$6:$AC$124,11,FALSE)</f>
        <v>41914.794369889132</v>
      </c>
      <c r="F50" s="133">
        <f>VLOOKUP($A50,IKP!$Q$6:$AC$124,12,FALSE)</f>
        <v>44047.159677638592</v>
      </c>
      <c r="G50" s="133">
        <f>VLOOKUP($A50,IKP!$Q$6:$AC$124,13,FALSE)</f>
        <v>45722.716432975896</v>
      </c>
      <c r="H50" s="132">
        <f>((-0.0000000006)*IKP!$J$5 + 0.0461)*E50</f>
        <v>1150.7692541127237</v>
      </c>
      <c r="I50" s="132">
        <f>((-0.0000000006)*IKP!$K$5 + 0.0461)*F50</f>
        <v>1167.428970835228</v>
      </c>
      <c r="J50" s="132">
        <f>((-0.0000000006)*IKP!$L$5 + 0.0461)*G50</f>
        <v>1177.7908341206116</v>
      </c>
      <c r="K50" s="132">
        <f t="shared" si="20"/>
        <v>276.18462098705373</v>
      </c>
      <c r="L50" s="132">
        <f t="shared" si="21"/>
        <v>280.18295300045475</v>
      </c>
      <c r="M50" s="132">
        <f t="shared" si="22"/>
        <v>282.66980018894679</v>
      </c>
      <c r="N50" s="137">
        <f>VLOOKUP(A50,NSAmaksa_2021!$A$4:$N$138,12,FALSE)</f>
        <v>92.7</v>
      </c>
      <c r="O50" s="137">
        <f>VLOOKUP(A50,NSAmaksa_2021!$A$4:$N$138,14,FALSE)</f>
        <v>43.26</v>
      </c>
      <c r="P50" s="132">
        <f t="shared" si="23"/>
        <v>64005.785913749693</v>
      </c>
      <c r="Q50" s="132">
        <f t="shared" si="24"/>
        <v>64932.399357855378</v>
      </c>
      <c r="R50" s="132">
        <f t="shared" si="25"/>
        <v>65508.726193788418</v>
      </c>
      <c r="S50" s="132">
        <f t="shared" si="26"/>
        <v>50351.21825214976</v>
      </c>
      <c r="T50" s="132">
        <f t="shared" si="27"/>
        <v>51080.154161512903</v>
      </c>
      <c r="U50" s="132">
        <f t="shared" si="28"/>
        <v>51533.531272446882</v>
      </c>
      <c r="V50" s="132">
        <f t="shared" si="15"/>
        <v>13654.567661599933</v>
      </c>
      <c r="W50" s="132">
        <f t="shared" si="16"/>
        <v>13852.245196342476</v>
      </c>
      <c r="X50" s="132">
        <f t="shared" si="17"/>
        <v>13975.194921341536</v>
      </c>
      <c r="Y50" s="132">
        <f t="shared" si="18"/>
        <v>41482.007779283944</v>
      </c>
      <c r="Z50" s="138">
        <f t="shared" si="19"/>
        <v>6.6649483686798732</v>
      </c>
    </row>
    <row r="51" spans="1:26" outlineLevel="1" x14ac:dyDescent="0.3">
      <c r="A51" s="98" t="s">
        <v>46</v>
      </c>
      <c r="B51" s="132">
        <f>VLOOKUP(A51,Iedz_sk!$B$5:$Y$123,15,FALSE)</f>
        <v>7622</v>
      </c>
      <c r="C51" s="132">
        <f>VLOOKUP(A51,Iedz_sk!$B$5:$Y$123,16,FALSE)</f>
        <v>7548</v>
      </c>
      <c r="D51" s="132">
        <f>VLOOKUP(A51,Iedz_sk!$B$5:$Y$123,17,FALSE)</f>
        <v>7474</v>
      </c>
      <c r="E51" s="133">
        <f>VLOOKUP($A51,IKP!$Q$6:$AC$124,11,FALSE)</f>
        <v>98881.119384756166</v>
      </c>
      <c r="F51" s="133">
        <f>VLOOKUP($A51,IKP!$Q$6:$AC$124,12,FALSE)</f>
        <v>103233.51510208833</v>
      </c>
      <c r="G51" s="133">
        <f>VLOOKUP($A51,IKP!$Q$6:$AC$124,13,FALSE)</f>
        <v>106435.1573689777</v>
      </c>
      <c r="H51" s="132">
        <f>((-0.0000000006)*IKP!$J$5 + 0.0461)*E51</f>
        <v>2714.7777702560161</v>
      </c>
      <c r="I51" s="132">
        <f>((-0.0000000006)*IKP!$K$5 + 0.0461)*F51</f>
        <v>2736.1082342959148</v>
      </c>
      <c r="J51" s="132">
        <f>((-0.0000000006)*IKP!$L$5 + 0.0461)*G51</f>
        <v>2741.70833574876</v>
      </c>
      <c r="K51" s="132">
        <f t="shared" si="20"/>
        <v>651.54666486144379</v>
      </c>
      <c r="L51" s="132">
        <f t="shared" si="21"/>
        <v>656.66597623101961</v>
      </c>
      <c r="M51" s="132">
        <f t="shared" si="22"/>
        <v>658.01000057970236</v>
      </c>
      <c r="N51" s="137">
        <f>VLOOKUP(A51,NSAmaksa_2021!$A$4:$N$138,12,FALSE)</f>
        <v>98.2</v>
      </c>
      <c r="O51" s="137">
        <f>VLOOKUP(A51,NSAmaksa_2021!$A$4:$N$138,14,FALSE)</f>
        <v>45.826666666666668</v>
      </c>
      <c r="P51" s="132">
        <f t="shared" si="23"/>
        <v>159954.70622348448</v>
      </c>
      <c r="Q51" s="132">
        <f t="shared" si="24"/>
        <v>161211.49716471529</v>
      </c>
      <c r="R51" s="132">
        <f t="shared" si="25"/>
        <v>161541.45514231693</v>
      </c>
      <c r="S51" s="132">
        <f t="shared" si="26"/>
        <v>125831.03556247444</v>
      </c>
      <c r="T51" s="132">
        <f t="shared" si="27"/>
        <v>126819.71110290936</v>
      </c>
      <c r="U51" s="132">
        <f t="shared" si="28"/>
        <v>127079.27804528933</v>
      </c>
      <c r="V51" s="132">
        <f t="shared" si="15"/>
        <v>34123.670661010037</v>
      </c>
      <c r="W51" s="132">
        <f t="shared" si="16"/>
        <v>34391.78606180592</v>
      </c>
      <c r="X51" s="132">
        <f t="shared" si="17"/>
        <v>34462.177097027597</v>
      </c>
      <c r="Y51" s="132">
        <f t="shared" si="18"/>
        <v>102977.63381984356</v>
      </c>
      <c r="Z51" s="138">
        <f t="shared" si="19"/>
        <v>13.644348929605682</v>
      </c>
    </row>
    <row r="52" spans="1:26" outlineLevel="1" x14ac:dyDescent="0.3">
      <c r="A52" s="98" t="s">
        <v>47</v>
      </c>
      <c r="B52" s="132">
        <f>VLOOKUP(A52,Iedz_sk!$B$5:$Y$123,15,FALSE)</f>
        <v>5039</v>
      </c>
      <c r="C52" s="132">
        <f>VLOOKUP(A52,Iedz_sk!$B$5:$Y$123,16,FALSE)</f>
        <v>4966</v>
      </c>
      <c r="D52" s="132">
        <f>VLOOKUP(A52,Iedz_sk!$B$5:$Y$123,17,FALSE)</f>
        <v>4893</v>
      </c>
      <c r="E52" s="133">
        <f>VLOOKUP($A52,IKP!$Q$6:$AC$124,11,FALSE)</f>
        <v>43003.840413533464</v>
      </c>
      <c r="F52" s="133">
        <f>VLOOKUP($A52,IKP!$Q$6:$AC$124,12,FALSE)</f>
        <v>45278.793365183235</v>
      </c>
      <c r="G52" s="133">
        <f>VLOOKUP($A52,IKP!$Q$6:$AC$124,13,FALSE)</f>
        <v>47087.428361565835</v>
      </c>
      <c r="H52" s="132">
        <f>((-0.0000000006)*IKP!$J$5 + 0.0461)*E52</f>
        <v>1180.6689762079682</v>
      </c>
      <c r="I52" s="132">
        <f>((-0.0000000006)*IKP!$K$5 + 0.0461)*F52</f>
        <v>1200.072275393778</v>
      </c>
      <c r="J52" s="132">
        <f>((-0.0000000006)*IKP!$L$5 + 0.0461)*G52</f>
        <v>1212.9450271805204</v>
      </c>
      <c r="K52" s="132">
        <f t="shared" si="20"/>
        <v>283.36055428991239</v>
      </c>
      <c r="L52" s="132">
        <f t="shared" si="21"/>
        <v>288.01734609450671</v>
      </c>
      <c r="M52" s="132">
        <f t="shared" si="22"/>
        <v>291.10680652332491</v>
      </c>
      <c r="N52" s="137">
        <f>VLOOKUP(A52,NSAmaksa_2021!$A$4:$N$138,12,FALSE)</f>
        <v>104.95</v>
      </c>
      <c r="O52" s="137">
        <f>VLOOKUP(A52,NSAmaksa_2021!$A$4:$N$138,14,FALSE)</f>
        <v>48.976666666666667</v>
      </c>
      <c r="P52" s="132">
        <f t="shared" si="23"/>
        <v>74346.72543181575</v>
      </c>
      <c r="Q52" s="132">
        <f t="shared" si="24"/>
        <v>75568.551181546209</v>
      </c>
      <c r="R52" s="132">
        <f t="shared" si="25"/>
        <v>76379.148361557367</v>
      </c>
      <c r="S52" s="132">
        <f t="shared" si="26"/>
        <v>58486.09067302839</v>
      </c>
      <c r="T52" s="132">
        <f t="shared" si="27"/>
        <v>59447.260262816344</v>
      </c>
      <c r="U52" s="132">
        <f t="shared" si="28"/>
        <v>60084.930044425128</v>
      </c>
      <c r="V52" s="132">
        <f t="shared" si="15"/>
        <v>15860.634758787361</v>
      </c>
      <c r="W52" s="132">
        <f t="shared" si="16"/>
        <v>16121.290918729865</v>
      </c>
      <c r="X52" s="132">
        <f t="shared" si="17"/>
        <v>16294.218317132239</v>
      </c>
      <c r="Y52" s="132">
        <f t="shared" si="18"/>
        <v>48276.143994649465</v>
      </c>
      <c r="Z52" s="138">
        <f t="shared" si="19"/>
        <v>9.7240170839655882</v>
      </c>
    </row>
    <row r="53" spans="1:26" outlineLevel="1" x14ac:dyDescent="0.3">
      <c r="A53" s="98" t="s">
        <v>48</v>
      </c>
      <c r="B53" s="132">
        <f>VLOOKUP(A53,Iedz_sk!$B$5:$Y$123,15,FALSE)</f>
        <v>1992</v>
      </c>
      <c r="C53" s="132">
        <f>VLOOKUP(A53,Iedz_sk!$B$5:$Y$123,16,FALSE)</f>
        <v>1942</v>
      </c>
      <c r="D53" s="132">
        <f>VLOOKUP(A53,Iedz_sk!$B$5:$Y$123,17,FALSE)</f>
        <v>1893</v>
      </c>
      <c r="E53" s="133">
        <f>VLOOKUP($A53,IKP!$Q$6:$AC$124,11,FALSE)</f>
        <v>18811.029512602898</v>
      </c>
      <c r="F53" s="133">
        <f>VLOOKUP($A53,IKP!$Q$6:$AC$124,12,FALSE)</f>
        <v>19731.18135897279</v>
      </c>
      <c r="G53" s="133">
        <f>VLOOKUP($A53,IKP!$Q$6:$AC$124,13,FALSE)</f>
        <v>20448.823659913232</v>
      </c>
      <c r="H53" s="132">
        <f>((-0.0000000006)*IKP!$J$5 + 0.0461)*E53</f>
        <v>516.45617559945401</v>
      </c>
      <c r="I53" s="132">
        <f>((-0.0000000006)*IKP!$K$5 + 0.0461)*F53</f>
        <v>522.95659733453556</v>
      </c>
      <c r="J53" s="132">
        <f>((-0.0000000006)*IKP!$L$5 + 0.0461)*G53</f>
        <v>526.74991676182333</v>
      </c>
      <c r="K53" s="132">
        <f t="shared" si="20"/>
        <v>123.94948214386898</v>
      </c>
      <c r="L53" s="132">
        <f t="shared" si="21"/>
        <v>125.50958336028854</v>
      </c>
      <c r="M53" s="132">
        <f t="shared" si="22"/>
        <v>126.41998002283761</v>
      </c>
      <c r="N53" s="137">
        <f>VLOOKUP(A53,NSAmaksa_2021!$A$4:$N$138,12,FALSE)</f>
        <v>123.84350000000001</v>
      </c>
      <c r="O53" s="137">
        <f>VLOOKUP(A53,NSAmaksa_2021!$A$4:$N$138,14,FALSE)</f>
        <v>57.793633333333325</v>
      </c>
      <c r="P53" s="132">
        <f t="shared" si="23"/>
        <v>38375.844229710587</v>
      </c>
      <c r="Q53" s="132">
        <f t="shared" si="24"/>
        <v>38858.865217199731</v>
      </c>
      <c r="R53" s="132">
        <f t="shared" si="25"/>
        <v>39140.731989895721</v>
      </c>
      <c r="S53" s="132">
        <f t="shared" si="26"/>
        <v>30188.997460705665</v>
      </c>
      <c r="T53" s="132">
        <f t="shared" si="27"/>
        <v>30568.97397086379</v>
      </c>
      <c r="U53" s="132">
        <f t="shared" si="28"/>
        <v>30790.709165384633</v>
      </c>
      <c r="V53" s="132">
        <f t="shared" si="15"/>
        <v>8186.846769004922</v>
      </c>
      <c r="W53" s="132">
        <f t="shared" si="16"/>
        <v>8289.8912463359411</v>
      </c>
      <c r="X53" s="132">
        <f t="shared" si="17"/>
        <v>8350.0228245110884</v>
      </c>
      <c r="Y53" s="132">
        <f t="shared" si="18"/>
        <v>24826.760839851951</v>
      </c>
      <c r="Z53" s="138">
        <f t="shared" si="19"/>
        <v>12.789601798927475</v>
      </c>
    </row>
    <row r="54" spans="1:26" outlineLevel="1" x14ac:dyDescent="0.3">
      <c r="A54" s="98" t="s">
        <v>49</v>
      </c>
      <c r="B54" s="132">
        <f>VLOOKUP(A54,Iedz_sk!$B$5:$Y$123,15,FALSE)</f>
        <v>2188</v>
      </c>
      <c r="C54" s="132">
        <f>VLOOKUP(A54,Iedz_sk!$B$5:$Y$123,16,FALSE)</f>
        <v>2158</v>
      </c>
      <c r="D54" s="132">
        <f>VLOOKUP(A54,Iedz_sk!$B$5:$Y$123,17,FALSE)</f>
        <v>2128</v>
      </c>
      <c r="E54" s="133">
        <f>VLOOKUP($A54,IKP!$Q$6:$AC$124,11,FALSE)</f>
        <v>28385.186199664982</v>
      </c>
      <c r="F54" s="133">
        <f>VLOOKUP($A54,IKP!$Q$6:$AC$124,12,FALSE)</f>
        <v>29514.828509579576</v>
      </c>
      <c r="G54" s="133">
        <f>VLOOKUP($A54,IKP!$Q$6:$AC$124,13,FALSE)</f>
        <v>30304.256740859586</v>
      </c>
      <c r="H54" s="132">
        <f>((-0.0000000006)*IKP!$J$5 + 0.0461)*E54</f>
        <v>779.31432187354551</v>
      </c>
      <c r="I54" s="132">
        <f>((-0.0000000006)*IKP!$K$5 + 0.0461)*F54</f>
        <v>782.26305903690843</v>
      </c>
      <c r="J54" s="132">
        <f>((-0.0000000006)*IKP!$L$5 + 0.0461)*G54</f>
        <v>780.62019513959876</v>
      </c>
      <c r="K54" s="132">
        <f t="shared" si="20"/>
        <v>187.03543724965093</v>
      </c>
      <c r="L54" s="132">
        <f t="shared" si="21"/>
        <v>187.74313416885801</v>
      </c>
      <c r="M54" s="132">
        <f t="shared" si="22"/>
        <v>187.3488468335037</v>
      </c>
      <c r="N54" s="137">
        <f>VLOOKUP(A54,NSAmaksa_2021!$A$4:$N$138,12,FALSE)</f>
        <v>86.05</v>
      </c>
      <c r="O54" s="137">
        <f>VLOOKUP(A54,NSAmaksa_2021!$A$4:$N$138,14,FALSE)</f>
        <v>63.533333333333331</v>
      </c>
      <c r="P54" s="132">
        <f t="shared" si="23"/>
        <v>40235.998438331153</v>
      </c>
      <c r="Q54" s="132">
        <f t="shared" si="24"/>
        <v>40388.24173807558</v>
      </c>
      <c r="R54" s="132">
        <f t="shared" si="25"/>
        <v>40303.420675057481</v>
      </c>
      <c r="S54" s="132">
        <f t="shared" si="26"/>
        <v>36024.583842926513</v>
      </c>
      <c r="T54" s="132">
        <f t="shared" si="27"/>
        <v>36160.892167040125</v>
      </c>
      <c r="U54" s="132">
        <f t="shared" si="28"/>
        <v>36084.949140523087</v>
      </c>
      <c r="V54" s="132">
        <f t="shared" si="15"/>
        <v>4211.4145954046398</v>
      </c>
      <c r="W54" s="132">
        <f t="shared" si="16"/>
        <v>4227.3495710354546</v>
      </c>
      <c r="X54" s="132">
        <f t="shared" si="17"/>
        <v>4218.4715345343939</v>
      </c>
      <c r="Y54" s="132">
        <f t="shared" si="18"/>
        <v>12657.235700974488</v>
      </c>
      <c r="Z54" s="138">
        <f t="shared" si="19"/>
        <v>5.8660626921770884</v>
      </c>
    </row>
    <row r="55" spans="1:26" outlineLevel="1" x14ac:dyDescent="0.3">
      <c r="A55" s="98" t="s">
        <v>50</v>
      </c>
      <c r="B55" s="132">
        <f>VLOOKUP(A55,Iedz_sk!$B$5:$Y$123,15,FALSE)</f>
        <v>22021</v>
      </c>
      <c r="C55" s="132">
        <f>VLOOKUP(A55,Iedz_sk!$B$5:$Y$123,16,FALSE)</f>
        <v>21627</v>
      </c>
      <c r="D55" s="132">
        <f>VLOOKUP(A55,Iedz_sk!$B$5:$Y$123,17,FALSE)</f>
        <v>21232</v>
      </c>
      <c r="E55" s="133">
        <f>VLOOKUP($A55,IKP!$Q$6:$AC$124,11,FALSE)</f>
        <v>187931.64710188934</v>
      </c>
      <c r="F55" s="133">
        <f>VLOOKUP($A55,IKP!$Q$6:$AC$124,12,FALSE)</f>
        <v>197189.78334853359</v>
      </c>
      <c r="G55" s="133">
        <f>VLOOKUP($A55,IKP!$Q$6:$AC$124,13,FALSE)</f>
        <v>204324.60228341832</v>
      </c>
      <c r="H55" s="132">
        <f>((-0.0000000006)*IKP!$J$5 + 0.0461)*E55</f>
        <v>5159.6569805667132</v>
      </c>
      <c r="I55" s="132">
        <f>((-0.0000000006)*IKP!$K$5 + 0.0461)*F55</f>
        <v>5226.3316753808367</v>
      </c>
      <c r="J55" s="132">
        <f>((-0.0000000006)*IKP!$L$5 + 0.0461)*G55</f>
        <v>5263.2840419163722</v>
      </c>
      <c r="K55" s="132">
        <f t="shared" si="20"/>
        <v>1238.3176753360112</v>
      </c>
      <c r="L55" s="132">
        <f t="shared" si="21"/>
        <v>1254.3196020914008</v>
      </c>
      <c r="M55" s="132">
        <f t="shared" si="22"/>
        <v>1263.1881700599292</v>
      </c>
      <c r="N55" s="137">
        <f>VLOOKUP(A55,NSAmaksa_2021!$A$4:$N$138,12,FALSE)</f>
        <v>118.95000000000002</v>
      </c>
      <c r="O55" s="137">
        <f>VLOOKUP(A55,NSAmaksa_2021!$A$4:$N$138,14,FALSE)</f>
        <v>55.510000000000005</v>
      </c>
      <c r="P55" s="132">
        <f t="shared" si="23"/>
        <v>368244.71870304632</v>
      </c>
      <c r="Q55" s="132">
        <f t="shared" si="24"/>
        <v>373003.29167193035</v>
      </c>
      <c r="R55" s="132">
        <f t="shared" si="25"/>
        <v>375640.58207157155</v>
      </c>
      <c r="S55" s="132">
        <f t="shared" si="26"/>
        <v>289685.84537972976</v>
      </c>
      <c r="T55" s="132">
        <f t="shared" si="27"/>
        <v>293429.25611525186</v>
      </c>
      <c r="U55" s="132">
        <f t="shared" si="28"/>
        <v>295503.92456296959</v>
      </c>
      <c r="V55" s="132">
        <f t="shared" si="15"/>
        <v>78558.873323316569</v>
      </c>
      <c r="W55" s="132">
        <f t="shared" si="16"/>
        <v>79574.035556678486</v>
      </c>
      <c r="X55" s="132">
        <f t="shared" si="17"/>
        <v>80136.657508601958</v>
      </c>
      <c r="Y55" s="132">
        <f t="shared" si="18"/>
        <v>238269.56638859701</v>
      </c>
      <c r="Z55" s="138">
        <f t="shared" si="19"/>
        <v>11.021170387210164</v>
      </c>
    </row>
    <row r="56" spans="1:26" outlineLevel="1" x14ac:dyDescent="0.3">
      <c r="A56" s="98" t="s">
        <v>51</v>
      </c>
      <c r="B56" s="132">
        <f>VLOOKUP(A56,Iedz_sk!$B$5:$Y$123,15,FALSE)</f>
        <v>4164</v>
      </c>
      <c r="C56" s="132">
        <f>VLOOKUP(A56,Iedz_sk!$B$5:$Y$123,16,FALSE)</f>
        <v>4079</v>
      </c>
      <c r="D56" s="132">
        <f>VLOOKUP(A56,Iedz_sk!$B$5:$Y$123,17,FALSE)</f>
        <v>3994</v>
      </c>
      <c r="E56" s="133">
        <f>VLOOKUP($A56,IKP!$Q$6:$AC$124,11,FALSE)</f>
        <v>35536.414265122708</v>
      </c>
      <c r="F56" s="133">
        <f>VLOOKUP($A56,IKP!$Q$6:$AC$124,12,FALSE)</f>
        <v>37191.340744378256</v>
      </c>
      <c r="G56" s="133">
        <f>VLOOKUP($A56,IKP!$Q$6:$AC$124,13,FALSE)</f>
        <v>38435.967479275278</v>
      </c>
      <c r="H56" s="132">
        <f>((-0.0000000006)*IKP!$J$5 + 0.0461)*E56</f>
        <v>975.651045233177</v>
      </c>
      <c r="I56" s="132">
        <f>((-0.0000000006)*IKP!$K$5 + 0.0461)*F56</f>
        <v>985.72187098896904</v>
      </c>
      <c r="J56" s="132">
        <f>((-0.0000000006)*IKP!$L$5 + 0.0461)*G56</f>
        <v>990.0883790228894</v>
      </c>
      <c r="K56" s="132">
        <f t="shared" si="20"/>
        <v>234.15625085596247</v>
      </c>
      <c r="L56" s="132">
        <f t="shared" si="21"/>
        <v>236.57324903735255</v>
      </c>
      <c r="M56" s="132">
        <f t="shared" si="22"/>
        <v>237.62121096549345</v>
      </c>
      <c r="N56" s="137">
        <f>VLOOKUP(A56,NSAmaksa_2021!$A$4:$N$138,12,FALSE)</f>
        <v>111.2</v>
      </c>
      <c r="O56" s="137">
        <f>VLOOKUP(A56,NSAmaksa_2021!$A$4:$N$138,14,FALSE)</f>
        <v>51.893333333333324</v>
      </c>
      <c r="P56" s="132">
        <f t="shared" si="23"/>
        <v>65095.437737957574</v>
      </c>
      <c r="Q56" s="132">
        <f t="shared" si="24"/>
        <v>65767.363232384014</v>
      </c>
      <c r="R56" s="132">
        <f t="shared" si="25"/>
        <v>66058.696648407175</v>
      </c>
      <c r="S56" s="132">
        <f t="shared" si="26"/>
        <v>51208.411020526619</v>
      </c>
      <c r="T56" s="132">
        <f t="shared" si="27"/>
        <v>51736.992409475424</v>
      </c>
      <c r="U56" s="132">
        <f t="shared" si="28"/>
        <v>51966.174696746981</v>
      </c>
      <c r="V56" s="132">
        <f t="shared" si="15"/>
        <v>13887.026717430956</v>
      </c>
      <c r="W56" s="132">
        <f t="shared" si="16"/>
        <v>14030.37082290859</v>
      </c>
      <c r="X56" s="132">
        <f t="shared" si="17"/>
        <v>14092.521951660194</v>
      </c>
      <c r="Y56" s="132">
        <f t="shared" si="18"/>
        <v>42009.919491999739</v>
      </c>
      <c r="Z56" s="138">
        <f t="shared" si="19"/>
        <v>10.303103380056912</v>
      </c>
    </row>
    <row r="57" spans="1:26" outlineLevel="1" x14ac:dyDescent="0.3">
      <c r="A57" s="98" t="s">
        <v>52</v>
      </c>
      <c r="B57" s="132">
        <f>VLOOKUP(A57,Iedz_sk!$B$5:$Y$123,15,FALSE)</f>
        <v>7462</v>
      </c>
      <c r="C57" s="132">
        <f>VLOOKUP(A57,Iedz_sk!$B$5:$Y$123,16,FALSE)</f>
        <v>7332</v>
      </c>
      <c r="D57" s="132">
        <f>VLOOKUP(A57,Iedz_sk!$B$5:$Y$123,17,FALSE)</f>
        <v>7203</v>
      </c>
      <c r="E57" s="133">
        <f>VLOOKUP($A57,IKP!$Q$6:$AC$124,11,FALSE)</f>
        <v>96805.420211106088</v>
      </c>
      <c r="F57" s="133">
        <f>VLOOKUP($A57,IKP!$Q$6:$AC$124,12,FALSE)</f>
        <v>100279.29686387278</v>
      </c>
      <c r="G57" s="133">
        <f>VLOOKUP($A57,IKP!$Q$6:$AC$124,13,FALSE)</f>
        <v>102575.92166560695</v>
      </c>
      <c r="H57" s="132">
        <f>((-0.0000000006)*IKP!$J$5 + 0.0461)*E57</f>
        <v>2657.7895200276039</v>
      </c>
      <c r="I57" s="132">
        <f>((-0.0000000006)*IKP!$K$5 + 0.0461)*F57</f>
        <v>2657.8094294988937</v>
      </c>
      <c r="J57" s="132">
        <f>((-0.0000000006)*IKP!$L$5 + 0.0461)*G57</f>
        <v>2642.2966473639704</v>
      </c>
      <c r="K57" s="132">
        <f t="shared" si="20"/>
        <v>637.86948480662488</v>
      </c>
      <c r="L57" s="132">
        <f t="shared" si="21"/>
        <v>637.87426307973453</v>
      </c>
      <c r="M57" s="132">
        <f t="shared" si="22"/>
        <v>634.1511953673529</v>
      </c>
      <c r="N57" s="137">
        <f>VLOOKUP(A57,NSAmaksa_2021!$A$4:$N$138,12,FALSE)</f>
        <v>86.05</v>
      </c>
      <c r="O57" s="137">
        <f>VLOOKUP(A57,NSAmaksa_2021!$A$4:$N$138,14,FALSE)</f>
        <v>63.533333333333331</v>
      </c>
      <c r="P57" s="132">
        <f t="shared" si="23"/>
        <v>137221.67291902518</v>
      </c>
      <c r="Q57" s="132">
        <f t="shared" si="24"/>
        <v>137222.70084502787</v>
      </c>
      <c r="R57" s="132">
        <f t="shared" si="25"/>
        <v>136421.77590340178</v>
      </c>
      <c r="S57" s="132">
        <f t="shared" si="26"/>
        <v>122858.978352796</v>
      </c>
      <c r="T57" s="132">
        <f t="shared" si="27"/>
        <v>122859.89868801585</v>
      </c>
      <c r="U57" s="132">
        <f t="shared" si="28"/>
        <v>122142.80482104688</v>
      </c>
      <c r="V57" s="132">
        <f t="shared" si="15"/>
        <v>14362.694566229184</v>
      </c>
      <c r="W57" s="132">
        <f t="shared" si="16"/>
        <v>14362.802157012018</v>
      </c>
      <c r="X57" s="132">
        <f t="shared" si="17"/>
        <v>14278.971082354896</v>
      </c>
      <c r="Y57" s="132">
        <f t="shared" si="18"/>
        <v>43004.467805596098</v>
      </c>
      <c r="Z57" s="138">
        <f t="shared" si="19"/>
        <v>5.8660626921770884</v>
      </c>
    </row>
    <row r="58" spans="1:26" outlineLevel="1" x14ac:dyDescent="0.3">
      <c r="A58" s="98" t="s">
        <v>53</v>
      </c>
      <c r="B58" s="132">
        <f>VLOOKUP(A58,Iedz_sk!$B$5:$Y$123,15,FALSE)</f>
        <v>5127</v>
      </c>
      <c r="C58" s="132">
        <f>VLOOKUP(A58,Iedz_sk!$B$5:$Y$123,16,FALSE)</f>
        <v>5004</v>
      </c>
      <c r="D58" s="132">
        <f>VLOOKUP(A58,Iedz_sk!$B$5:$Y$123,17,FALSE)</f>
        <v>4880</v>
      </c>
      <c r="E58" s="133">
        <f>VLOOKUP($A58,IKP!$Q$6:$AC$124,11,FALSE)</f>
        <v>33714.645549799432</v>
      </c>
      <c r="F58" s="133">
        <f>VLOOKUP($A58,IKP!$Q$6:$AC$124,12,FALSE)</f>
        <v>35396.175851437853</v>
      </c>
      <c r="G58" s="133">
        <f>VLOOKUP($A58,IKP!$Q$6:$AC$124,13,FALSE)</f>
        <v>36692.461140095766</v>
      </c>
      <c r="H58" s="132">
        <f>((-0.0000000006)*IKP!$J$5 + 0.0461)*E58</f>
        <v>925.63444710322165</v>
      </c>
      <c r="I58" s="132">
        <f>((-0.0000000006)*IKP!$K$5 + 0.0461)*F58</f>
        <v>938.14269633201877</v>
      </c>
      <c r="J58" s="132">
        <f>((-0.0000000006)*IKP!$L$5 + 0.0461)*G58</f>
        <v>945.17666017243619</v>
      </c>
      <c r="K58" s="132">
        <f t="shared" si="20"/>
        <v>222.1522673047732</v>
      </c>
      <c r="L58" s="132">
        <f t="shared" si="21"/>
        <v>225.15424711968453</v>
      </c>
      <c r="M58" s="132">
        <f t="shared" si="22"/>
        <v>226.84239844138469</v>
      </c>
      <c r="N58" s="137">
        <f>VLOOKUP(A58,NSAmaksa_2021!$A$4:$N$138,12,FALSE)</f>
        <v>78.650000000000006</v>
      </c>
      <c r="O58" s="137">
        <f>VLOOKUP(A58,NSAmaksa_2021!$A$4:$N$138,14,FALSE)</f>
        <v>36.703333333333333</v>
      </c>
      <c r="P58" s="132">
        <f t="shared" si="23"/>
        <v>43680.689558801037</v>
      </c>
      <c r="Q58" s="132">
        <f t="shared" si="24"/>
        <v>44270.953839907968</v>
      </c>
      <c r="R58" s="132">
        <f t="shared" si="25"/>
        <v>44602.886593537267</v>
      </c>
      <c r="S58" s="132">
        <f t="shared" si="26"/>
        <v>34362.142452923479</v>
      </c>
      <c r="T58" s="132">
        <f t="shared" si="27"/>
        <v>34826.483687394262</v>
      </c>
      <c r="U58" s="132">
        <f t="shared" si="28"/>
        <v>35087.604120249314</v>
      </c>
      <c r="V58" s="132">
        <f t="shared" si="15"/>
        <v>9318.5471058775584</v>
      </c>
      <c r="W58" s="132">
        <f t="shared" si="16"/>
        <v>9444.4701525137061</v>
      </c>
      <c r="X58" s="132">
        <f t="shared" si="17"/>
        <v>9515.2824732879526</v>
      </c>
      <c r="Y58" s="132">
        <f t="shared" si="18"/>
        <v>28278.299731679217</v>
      </c>
      <c r="Z58" s="138">
        <f t="shared" si="19"/>
        <v>5.654780897482981</v>
      </c>
    </row>
    <row r="59" spans="1:26" outlineLevel="1" x14ac:dyDescent="0.3">
      <c r="A59" s="98" t="s">
        <v>54</v>
      </c>
      <c r="B59" s="132">
        <f>VLOOKUP(A59,Iedz_sk!$B$5:$Y$123,15,FALSE)</f>
        <v>5776</v>
      </c>
      <c r="C59" s="132">
        <f>VLOOKUP(A59,Iedz_sk!$B$5:$Y$123,16,FALSE)</f>
        <v>5687</v>
      </c>
      <c r="D59" s="132">
        <f>VLOOKUP(A59,Iedz_sk!$B$5:$Y$123,17,FALSE)</f>
        <v>5598</v>
      </c>
      <c r="E59" s="133">
        <f>VLOOKUP($A59,IKP!$Q$6:$AC$124,11,FALSE)</f>
        <v>54544.430956222051</v>
      </c>
      <c r="F59" s="133">
        <f>VLOOKUP($A59,IKP!$Q$6:$AC$124,12,FALSE)</f>
        <v>57781.271054829172</v>
      </c>
      <c r="G59" s="133">
        <f>VLOOKUP($A59,IKP!$Q$6:$AC$124,13,FALSE)</f>
        <v>60471.481694767186</v>
      </c>
      <c r="H59" s="132">
        <f>((-0.0000000006)*IKP!$J$5 + 0.0461)*E59</f>
        <v>1497.5154971197019</v>
      </c>
      <c r="I59" s="132">
        <f>((-0.0000000006)*IKP!$K$5 + 0.0461)*F59</f>
        <v>1531.4388100110732</v>
      </c>
      <c r="J59" s="132">
        <f>((-0.0000000006)*IKP!$L$5 + 0.0461)*G59</f>
        <v>1557.7105303923336</v>
      </c>
      <c r="K59" s="132">
        <f t="shared" si="20"/>
        <v>359.40371930872845</v>
      </c>
      <c r="L59" s="132">
        <f t="shared" si="21"/>
        <v>367.5453144026576</v>
      </c>
      <c r="M59" s="132">
        <f t="shared" si="22"/>
        <v>373.85052729416009</v>
      </c>
      <c r="N59" s="137">
        <f>VLOOKUP(A59,NSAmaksa_2021!$A$4:$N$138,12,FALSE)</f>
        <v>123.84350000000001</v>
      </c>
      <c r="O59" s="137">
        <f>VLOOKUP(A59,NSAmaksa_2021!$A$4:$N$138,14,FALSE)</f>
        <v>57.793633333333325</v>
      </c>
      <c r="P59" s="132">
        <f t="shared" si="23"/>
        <v>111274.53628052628</v>
      </c>
      <c r="Q59" s="132">
        <f t="shared" si="24"/>
        <v>113795.2453605638</v>
      </c>
      <c r="R59" s="132">
        <f t="shared" si="25"/>
        <v>115747.39444238578</v>
      </c>
      <c r="S59" s="132">
        <f t="shared" si="26"/>
        <v>87535.968540680668</v>
      </c>
      <c r="T59" s="132">
        <f t="shared" si="27"/>
        <v>89518.926350310183</v>
      </c>
      <c r="U59" s="132">
        <f t="shared" si="28"/>
        <v>91054.616961343461</v>
      </c>
      <c r="V59" s="132">
        <f t="shared" si="15"/>
        <v>23738.567739845617</v>
      </c>
      <c r="W59" s="132">
        <f t="shared" si="16"/>
        <v>24276.319010253617</v>
      </c>
      <c r="X59" s="132">
        <f t="shared" si="17"/>
        <v>24692.777481042314</v>
      </c>
      <c r="Y59" s="132">
        <f t="shared" si="18"/>
        <v>72707.664231141549</v>
      </c>
      <c r="Z59" s="138">
        <f t="shared" si="19"/>
        <v>12.789601798927484</v>
      </c>
    </row>
    <row r="60" spans="1:26" outlineLevel="1" x14ac:dyDescent="0.3">
      <c r="A60" s="98" t="s">
        <v>55</v>
      </c>
      <c r="B60" s="132">
        <f>VLOOKUP(A60,Iedz_sk!$B$5:$Y$123,15,FALSE)</f>
        <v>4851</v>
      </c>
      <c r="C60" s="132">
        <f>VLOOKUP(A60,Iedz_sk!$B$5:$Y$123,16,FALSE)</f>
        <v>4789</v>
      </c>
      <c r="D60" s="132">
        <f>VLOOKUP(A60,Iedz_sk!$B$5:$Y$123,17,FALSE)</f>
        <v>4727</v>
      </c>
      <c r="E60" s="133">
        <f>VLOOKUP($A60,IKP!$Q$6:$AC$124,11,FALSE)</f>
        <v>41399.410566789207</v>
      </c>
      <c r="F60" s="133">
        <f>VLOOKUP($A60,IKP!$Q$6:$AC$124,12,FALSE)</f>
        <v>43664.949944797125</v>
      </c>
      <c r="G60" s="133">
        <f>VLOOKUP($A60,IKP!$Q$6:$AC$124,13,FALSE)</f>
        <v>45489.939477850334</v>
      </c>
      <c r="H60" s="132">
        <f>((-0.0000000006)*IKP!$J$5 + 0.0461)*E60</f>
        <v>1136.6194093242416</v>
      </c>
      <c r="I60" s="132">
        <f>((-0.0000000006)*IKP!$K$5 + 0.0461)*F60</f>
        <v>1157.298857603867</v>
      </c>
      <c r="J60" s="132">
        <f>((-0.0000000006)*IKP!$L$5 + 0.0461)*G60</f>
        <v>1171.7946338610911</v>
      </c>
      <c r="K60" s="132">
        <f t="shared" si="20"/>
        <v>272.78865823781797</v>
      </c>
      <c r="L60" s="132">
        <f t="shared" si="21"/>
        <v>277.75172582492809</v>
      </c>
      <c r="M60" s="132">
        <f t="shared" si="22"/>
        <v>281.2307121266619</v>
      </c>
      <c r="N60" s="137">
        <f>VLOOKUP(A60,NSAmaksa_2021!$A$4:$N$138,12,FALSE)</f>
        <v>79.8</v>
      </c>
      <c r="O60" s="137">
        <f>VLOOKUP(A60,NSAmaksa_2021!$A$4:$N$138,14,FALSE)</f>
        <v>37.24</v>
      </c>
      <c r="P60" s="132">
        <f t="shared" si="23"/>
        <v>54421.337318444683</v>
      </c>
      <c r="Q60" s="132">
        <f t="shared" si="24"/>
        <v>55411.469302073143</v>
      </c>
      <c r="R60" s="132">
        <f t="shared" si="25"/>
        <v>56105.527069269039</v>
      </c>
      <c r="S60" s="132">
        <f t="shared" si="26"/>
        <v>42811.452023843158</v>
      </c>
      <c r="T60" s="132">
        <f t="shared" si="27"/>
        <v>43590.355850964203</v>
      </c>
      <c r="U60" s="132">
        <f t="shared" si="28"/>
        <v>44136.34796115831</v>
      </c>
      <c r="V60" s="132">
        <f t="shared" si="15"/>
        <v>11609.885294601525</v>
      </c>
      <c r="W60" s="132">
        <f t="shared" si="16"/>
        <v>11821.11345110894</v>
      </c>
      <c r="X60" s="132">
        <f t="shared" si="17"/>
        <v>11969.179108110729</v>
      </c>
      <c r="Y60" s="132">
        <f t="shared" si="18"/>
        <v>35400.177853821195</v>
      </c>
      <c r="Z60" s="138">
        <f t="shared" si="19"/>
        <v>7.3937738284940782</v>
      </c>
    </row>
    <row r="61" spans="1:26" outlineLevel="1" x14ac:dyDescent="0.3">
      <c r="A61" s="98" t="s">
        <v>56</v>
      </c>
      <c r="B61" s="132">
        <f>VLOOKUP(A61,Iedz_sk!$B$5:$Y$123,15,FALSE)</f>
        <v>13533</v>
      </c>
      <c r="C61" s="132">
        <f>VLOOKUP(A61,Iedz_sk!$B$5:$Y$123,16,FALSE)</f>
        <v>13158</v>
      </c>
      <c r="D61" s="132">
        <f>VLOOKUP(A61,Iedz_sk!$B$5:$Y$123,17,FALSE)</f>
        <v>12782</v>
      </c>
      <c r="E61" s="133">
        <f>VLOOKUP($A61,IKP!$Q$6:$AC$124,11,FALSE)</f>
        <v>88991.671196691183</v>
      </c>
      <c r="F61" s="133">
        <f>VLOOKUP($A61,IKP!$Q$6:$AC$124,12,FALSE)</f>
        <v>93074.117076982264</v>
      </c>
      <c r="G61" s="133">
        <f>VLOOKUP($A61,IKP!$Q$6:$AC$124,13,FALSE)</f>
        <v>96107.17997801314</v>
      </c>
      <c r="H61" s="132">
        <f>((-0.0000000006)*IKP!$J$5 + 0.0461)*E61</f>
        <v>2443.2633065433779</v>
      </c>
      <c r="I61" s="132">
        <f>((-0.0000000006)*IKP!$K$5 + 0.0461)*F61</f>
        <v>2466.8428453910274</v>
      </c>
      <c r="J61" s="132">
        <f>((-0.0000000006)*IKP!$L$5 + 0.0461)*G61</f>
        <v>2475.6655881811639</v>
      </c>
      <c r="K61" s="132">
        <f t="shared" si="20"/>
        <v>586.38319357041064</v>
      </c>
      <c r="L61" s="132">
        <f t="shared" si="21"/>
        <v>592.04228289384662</v>
      </c>
      <c r="M61" s="132">
        <f t="shared" si="22"/>
        <v>594.15974116347934</v>
      </c>
      <c r="N61" s="137">
        <f>VLOOKUP(A61,NSAmaksa_2021!$A$4:$N$138,12,FALSE)</f>
        <v>163.108</v>
      </c>
      <c r="O61" s="137">
        <f>VLOOKUP(A61,NSAmaksa_2021!$A$4:$N$138,14,FALSE)</f>
        <v>114.17559999999999</v>
      </c>
      <c r="P61" s="132">
        <f t="shared" si="23"/>
        <v>239109.47484220634</v>
      </c>
      <c r="Q61" s="132">
        <f t="shared" si="24"/>
        <v>241417.08169562381</v>
      </c>
      <c r="R61" s="132">
        <f t="shared" si="25"/>
        <v>242280.51765423198</v>
      </c>
      <c r="S61" s="132">
        <f t="shared" si="26"/>
        <v>210416.3378611416</v>
      </c>
      <c r="T61" s="132">
        <f t="shared" si="27"/>
        <v>212447.03189214895</v>
      </c>
      <c r="U61" s="132">
        <f t="shared" si="28"/>
        <v>213206.85553572411</v>
      </c>
      <c r="V61" s="132">
        <f t="shared" si="15"/>
        <v>28693.136981064745</v>
      </c>
      <c r="W61" s="132">
        <f t="shared" si="16"/>
        <v>28970.04980347486</v>
      </c>
      <c r="X61" s="132">
        <f t="shared" si="17"/>
        <v>29073.662118507869</v>
      </c>
      <c r="Y61" s="132">
        <f t="shared" si="18"/>
        <v>86736.848903047474</v>
      </c>
      <c r="Z61" s="138">
        <f t="shared" si="19"/>
        <v>6.5965194084868752</v>
      </c>
    </row>
    <row r="62" spans="1:26" outlineLevel="1" x14ac:dyDescent="0.3">
      <c r="A62" s="98" t="s">
        <v>57</v>
      </c>
      <c r="B62" s="132">
        <f>VLOOKUP(A62,Iedz_sk!$B$5:$Y$123,15,FALSE)</f>
        <v>4833</v>
      </c>
      <c r="C62" s="132">
        <f>VLOOKUP(A62,Iedz_sk!$B$5:$Y$123,16,FALSE)</f>
        <v>4764</v>
      </c>
      <c r="D62" s="132">
        <f>VLOOKUP(A62,Iedz_sk!$B$5:$Y$123,17,FALSE)</f>
        <v>4694</v>
      </c>
      <c r="E62" s="133">
        <f>VLOOKUP($A62,IKP!$Q$6:$AC$124,11,FALSE)</f>
        <v>62699.088164068038</v>
      </c>
      <c r="F62" s="133">
        <f>VLOOKUP($A62,IKP!$Q$6:$AC$124,12,FALSE)</f>
        <v>65156.924476198838</v>
      </c>
      <c r="G62" s="133">
        <f>VLOOKUP($A62,IKP!$Q$6:$AC$124,13,FALSE)</f>
        <v>66845.949784584067</v>
      </c>
      <c r="H62" s="132">
        <f>((-0.0000000006)*IKP!$J$5 + 0.0461)*E62</f>
        <v>1721.4013334619951</v>
      </c>
      <c r="I62" s="132">
        <f>((-0.0000000006)*IKP!$K$5 + 0.0461)*F62</f>
        <v>1726.9236391343056</v>
      </c>
      <c r="J62" s="132">
        <f>((-0.0000000006)*IKP!$L$5 + 0.0461)*G62</f>
        <v>1721.9131560081187</v>
      </c>
      <c r="K62" s="132">
        <f t="shared" si="20"/>
        <v>413.13632003087884</v>
      </c>
      <c r="L62" s="132">
        <f t="shared" si="21"/>
        <v>414.46167339223337</v>
      </c>
      <c r="M62" s="132">
        <f t="shared" si="22"/>
        <v>413.2591574419485</v>
      </c>
      <c r="N62" s="137">
        <f>VLOOKUP(A62,NSAmaksa_2021!$A$4:$N$138,12,FALSE)</f>
        <v>119.12449999999998</v>
      </c>
      <c r="O62" s="137">
        <f>VLOOKUP(A62,NSAmaksa_2021!$A$4:$N$138,14,FALSE)</f>
        <v>55.591433333333335</v>
      </c>
      <c r="P62" s="132">
        <f t="shared" si="23"/>
        <v>123036.64388879602</v>
      </c>
      <c r="Q62" s="132">
        <f t="shared" si="24"/>
        <v>123431.34903003272</v>
      </c>
      <c r="R62" s="132">
        <f t="shared" si="25"/>
        <v>123073.22625173345</v>
      </c>
      <c r="S62" s="132">
        <f t="shared" si="26"/>
        <v>96788.826525852885</v>
      </c>
      <c r="T62" s="132">
        <f t="shared" si="27"/>
        <v>97099.32790362573</v>
      </c>
      <c r="U62" s="132">
        <f t="shared" si="28"/>
        <v>96817.604651363654</v>
      </c>
      <c r="V62" s="132">
        <f t="shared" si="15"/>
        <v>26247.81736294314</v>
      </c>
      <c r="W62" s="132">
        <f t="shared" si="16"/>
        <v>26332.021126406995</v>
      </c>
      <c r="X62" s="132">
        <f t="shared" si="17"/>
        <v>26255.621600369792</v>
      </c>
      <c r="Y62" s="132">
        <f t="shared" si="18"/>
        <v>78835.460089719927</v>
      </c>
      <c r="Z62" s="138">
        <f t="shared" si="19"/>
        <v>16.551692913083624</v>
      </c>
    </row>
    <row r="63" spans="1:26" outlineLevel="1" x14ac:dyDescent="0.3">
      <c r="A63" s="98" t="s">
        <v>58</v>
      </c>
      <c r="B63" s="132">
        <f>VLOOKUP(A63,Iedz_sk!$B$5:$Y$123,15,FALSE)</f>
        <v>5461</v>
      </c>
      <c r="C63" s="132">
        <f>VLOOKUP(A63,Iedz_sk!$B$5:$Y$123,16,FALSE)</f>
        <v>5389</v>
      </c>
      <c r="D63" s="132">
        <f>VLOOKUP(A63,Iedz_sk!$B$5:$Y$123,17,FALSE)</f>
        <v>5317</v>
      </c>
      <c r="E63" s="133">
        <f>VLOOKUP($A63,IKP!$Q$6:$AC$124,11,FALSE)</f>
        <v>46605.273367395566</v>
      </c>
      <c r="F63" s="133">
        <f>VLOOKUP($A63,IKP!$Q$6:$AC$124,12,FALSE)</f>
        <v>49135.605607122925</v>
      </c>
      <c r="G63" s="133">
        <f>VLOOKUP($A63,IKP!$Q$6:$AC$124,13,FALSE)</f>
        <v>51167.761413947585</v>
      </c>
      <c r="H63" s="132">
        <f>((-0.0000000006)*IKP!$J$5 + 0.0461)*E63</f>
        <v>1279.5461954895245</v>
      </c>
      <c r="I63" s="132">
        <f>((-0.0000000006)*IKP!$K$5 + 0.0461)*F63</f>
        <v>1302.2934941798367</v>
      </c>
      <c r="J63" s="132">
        <f>((-0.0000000006)*IKP!$L$5 + 0.0461)*G63</f>
        <v>1318.0520559000258</v>
      </c>
      <c r="K63" s="132">
        <f t="shared" si="20"/>
        <v>307.09108691748588</v>
      </c>
      <c r="L63" s="132">
        <f t="shared" si="21"/>
        <v>312.55043860316084</v>
      </c>
      <c r="M63" s="132">
        <f t="shared" si="22"/>
        <v>316.33249341600623</v>
      </c>
      <c r="N63" s="137">
        <f>VLOOKUP(A63,NSAmaksa_2021!$A$4:$N$138,12,FALSE)</f>
        <v>111.2</v>
      </c>
      <c r="O63" s="137">
        <f>VLOOKUP(A63,NSAmaksa_2021!$A$4:$N$138,14,FALSE)</f>
        <v>51.893333333333324</v>
      </c>
      <c r="P63" s="132">
        <f t="shared" si="23"/>
        <v>85371.322163061079</v>
      </c>
      <c r="Q63" s="132">
        <f t="shared" si="24"/>
        <v>86889.021931678697</v>
      </c>
      <c r="R63" s="132">
        <f t="shared" si="25"/>
        <v>87940.433169649725</v>
      </c>
      <c r="S63" s="132">
        <f t="shared" si="26"/>
        <v>67158.77343494138</v>
      </c>
      <c r="T63" s="132">
        <f t="shared" si="27"/>
        <v>68352.697252920567</v>
      </c>
      <c r="U63" s="132">
        <f t="shared" si="28"/>
        <v>69179.807426791114</v>
      </c>
      <c r="V63" s="132">
        <f t="shared" si="15"/>
        <v>18212.548728119698</v>
      </c>
      <c r="W63" s="132">
        <f t="shared" si="16"/>
        <v>18536.32467875813</v>
      </c>
      <c r="X63" s="132">
        <f t="shared" si="17"/>
        <v>18760.62574285861</v>
      </c>
      <c r="Y63" s="132">
        <f t="shared" si="18"/>
        <v>55509.499149736439</v>
      </c>
      <c r="Z63" s="138">
        <f t="shared" si="19"/>
        <v>10.303103380056916</v>
      </c>
    </row>
    <row r="64" spans="1:26" outlineLevel="1" x14ac:dyDescent="0.3">
      <c r="A64" s="98" t="s">
        <v>59</v>
      </c>
      <c r="B64" s="132">
        <f>VLOOKUP(A64,Iedz_sk!$B$5:$Y$123,15,FALSE)</f>
        <v>21907</v>
      </c>
      <c r="C64" s="132">
        <f>VLOOKUP(A64,Iedz_sk!$B$5:$Y$123,16,FALSE)</f>
        <v>21570</v>
      </c>
      <c r="D64" s="132">
        <f>VLOOKUP(A64,Iedz_sk!$B$5:$Y$123,17,FALSE)</f>
        <v>21234</v>
      </c>
      <c r="E64" s="133">
        <f>VLOOKUP($A64,IKP!$Q$6:$AC$124,11,FALSE)</f>
        <v>209894.59112891389</v>
      </c>
      <c r="F64" s="133">
        <f>VLOOKUP($A64,IKP!$Q$6:$AC$124,12,FALSE)</f>
        <v>221149.69083791066</v>
      </c>
      <c r="G64" s="133">
        <f>VLOOKUP($A64,IKP!$Q$6:$AC$124,13,FALSE)</f>
        <v>230154.97413396061</v>
      </c>
      <c r="H64" s="132">
        <f>((-0.0000000006)*IKP!$J$5 + 0.0461)*E64</f>
        <v>5762.6488619787606</v>
      </c>
      <c r="I64" s="132">
        <f>((-0.0000000006)*IKP!$K$5 + 0.0461)*F64</f>
        <v>5861.3667229603298</v>
      </c>
      <c r="J64" s="132">
        <f>((-0.0000000006)*IKP!$L$5 + 0.0461)*G64</f>
        <v>5928.6595397193505</v>
      </c>
      <c r="K64" s="132">
        <f t="shared" si="20"/>
        <v>1383.0357268749026</v>
      </c>
      <c r="L64" s="132">
        <f t="shared" si="21"/>
        <v>1406.7280135104791</v>
      </c>
      <c r="M64" s="132">
        <f t="shared" si="22"/>
        <v>1422.878289532644</v>
      </c>
      <c r="N64" s="137">
        <f>VLOOKUP(A64,NSAmaksa_2021!$A$4:$N$138,12,FALSE)</f>
        <v>86.75</v>
      </c>
      <c r="O64" s="137">
        <f>VLOOKUP(A64,NSAmaksa_2021!$A$4:$N$138,14,FALSE)</f>
        <v>40.483333333333334</v>
      </c>
      <c r="P64" s="132">
        <f t="shared" si="23"/>
        <v>299945.87326599448</v>
      </c>
      <c r="Q64" s="132">
        <f t="shared" si="24"/>
        <v>305084.13793008518</v>
      </c>
      <c r="R64" s="132">
        <f t="shared" si="25"/>
        <v>308586.72904239222</v>
      </c>
      <c r="S64" s="132">
        <f t="shared" si="26"/>
        <v>235957.42030258232</v>
      </c>
      <c r="T64" s="132">
        <f t="shared" si="27"/>
        <v>239999.52183833363</v>
      </c>
      <c r="U64" s="132">
        <f t="shared" si="28"/>
        <v>242754.89351334851</v>
      </c>
      <c r="V64" s="132">
        <f t="shared" si="15"/>
        <v>63988.452963412157</v>
      </c>
      <c r="W64" s="132">
        <f t="shared" si="16"/>
        <v>65084.616091751552</v>
      </c>
      <c r="X64" s="132">
        <f t="shared" si="17"/>
        <v>65831.835529043718</v>
      </c>
      <c r="Y64" s="132">
        <f t="shared" si="18"/>
        <v>194904.90458420743</v>
      </c>
      <c r="Z64" s="138">
        <f t="shared" si="19"/>
        <v>9.0385840776225042</v>
      </c>
    </row>
    <row r="65" spans="1:26" outlineLevel="1" x14ac:dyDescent="0.3">
      <c r="A65" s="98" t="s">
        <v>60</v>
      </c>
      <c r="B65" s="132">
        <f>VLOOKUP(A65,Iedz_sk!$B$5:$Y$123,15,FALSE)</f>
        <v>5313</v>
      </c>
      <c r="C65" s="132">
        <f>VLOOKUP(A65,Iedz_sk!$B$5:$Y$123,16,FALSE)</f>
        <v>5254</v>
      </c>
      <c r="D65" s="132">
        <f>VLOOKUP(A65,Iedz_sk!$B$5:$Y$123,17,FALSE)</f>
        <v>5196</v>
      </c>
      <c r="E65" s="133">
        <f>VLOOKUP($A65,IKP!$Q$6:$AC$124,11,FALSE)</f>
        <v>68926.18568501831</v>
      </c>
      <c r="F65" s="133">
        <f>VLOOKUP($A65,IKP!$Q$6:$AC$124,12,FALSE)</f>
        <v>71858.623257336003</v>
      </c>
      <c r="G65" s="133">
        <f>VLOOKUP($A65,IKP!$Q$6:$AC$124,13,FALSE)</f>
        <v>73994.792305219176</v>
      </c>
      <c r="H65" s="132">
        <f>((-0.0000000006)*IKP!$J$5 + 0.0461)*E65</f>
        <v>1892.3660841472338</v>
      </c>
      <c r="I65" s="132">
        <f>((-0.0000000006)*IKP!$K$5 + 0.0461)*F65</f>
        <v>1904.5459277942155</v>
      </c>
      <c r="J65" s="132">
        <f>((-0.0000000006)*IKP!$L$5 + 0.0461)*G65</f>
        <v>1906.0632208389825</v>
      </c>
      <c r="K65" s="132">
        <f t="shared" si="20"/>
        <v>454.16786019533612</v>
      </c>
      <c r="L65" s="132">
        <f t="shared" si="21"/>
        <v>457.09102267061172</v>
      </c>
      <c r="M65" s="132">
        <f t="shared" si="22"/>
        <v>457.45517300135577</v>
      </c>
      <c r="N65" s="137">
        <f>VLOOKUP(A65,NSAmaksa_2021!$A$4:$N$138,12,FALSE)</f>
        <v>91.111499999999992</v>
      </c>
      <c r="O65" s="137">
        <f>VLOOKUP(A65,NSAmaksa_2021!$A$4:$N$138,14,FALSE)</f>
        <v>42.518700000000003</v>
      </c>
      <c r="P65" s="132">
        <f t="shared" si="23"/>
        <v>103449.78748546841</v>
      </c>
      <c r="Q65" s="132">
        <f t="shared" si="24"/>
        <v>104115.62178013359</v>
      </c>
      <c r="R65" s="132">
        <f t="shared" si="25"/>
        <v>104198.56748728256</v>
      </c>
      <c r="S65" s="132">
        <f t="shared" si="26"/>
        <v>81380.499488568472</v>
      </c>
      <c r="T65" s="132">
        <f t="shared" si="27"/>
        <v>81904.289133705082</v>
      </c>
      <c r="U65" s="132">
        <f t="shared" si="28"/>
        <v>81969.539756662285</v>
      </c>
      <c r="V65" s="132">
        <f t="shared" si="15"/>
        <v>22069.287996899933</v>
      </c>
      <c r="W65" s="132">
        <f t="shared" si="16"/>
        <v>22211.332646428506</v>
      </c>
      <c r="X65" s="132">
        <f t="shared" si="17"/>
        <v>22229.027730620277</v>
      </c>
      <c r="Y65" s="132">
        <f t="shared" si="18"/>
        <v>66509.648373948716</v>
      </c>
      <c r="Z65" s="138">
        <f t="shared" si="19"/>
        <v>12.659440911402937</v>
      </c>
    </row>
    <row r="66" spans="1:26" outlineLevel="1" x14ac:dyDescent="0.3">
      <c r="A66" s="98" t="s">
        <v>61</v>
      </c>
      <c r="B66" s="132">
        <f>VLOOKUP(A66,Iedz_sk!$B$5:$Y$123,15,FALSE)</f>
        <v>24631</v>
      </c>
      <c r="C66" s="132">
        <f>VLOOKUP(A66,Iedz_sk!$B$5:$Y$123,16,FALSE)</f>
        <v>24660</v>
      </c>
      <c r="D66" s="132">
        <f>VLOOKUP(A66,Iedz_sk!$B$5:$Y$123,17,FALSE)</f>
        <v>24688</v>
      </c>
      <c r="E66" s="133">
        <f>VLOOKUP($A66,IKP!$Q$6:$AC$124,11,FALSE)</f>
        <v>319540.91466359608</v>
      </c>
      <c r="F66" s="133">
        <f>VLOOKUP($A66,IKP!$Q$6:$AC$124,12,FALSE)</f>
        <v>337273.24886294361</v>
      </c>
      <c r="G66" s="133">
        <f>VLOOKUP($A66,IKP!$Q$6:$AC$124,13,FALSE)</f>
        <v>351574.9485048597</v>
      </c>
      <c r="H66" s="132">
        <f>((-0.0000000006)*IKP!$J$5 + 0.0461)*E66</f>
        <v>8772.9849461002286</v>
      </c>
      <c r="I66" s="132">
        <f>((-0.0000000006)*IKP!$K$5 + 0.0461)*F66</f>
        <v>8939.1135476599447</v>
      </c>
      <c r="J66" s="132">
        <f>((-0.0000000006)*IKP!$L$5 + 0.0461)*G66</f>
        <v>9056.3681285744424</v>
      </c>
      <c r="K66" s="132">
        <f t="shared" si="20"/>
        <v>2105.5163870640549</v>
      </c>
      <c r="L66" s="132">
        <f t="shared" si="21"/>
        <v>2145.3872514383866</v>
      </c>
      <c r="M66" s="132">
        <f t="shared" si="22"/>
        <v>2173.5283508578664</v>
      </c>
      <c r="N66" s="137">
        <f>VLOOKUP(A66,NSAmaksa_2021!$A$4:$N$138,12,FALSE)</f>
        <v>76.650000000000006</v>
      </c>
      <c r="O66" s="137">
        <f>VLOOKUP(A66,NSAmaksa_2021!$A$4:$N$138,14,FALSE)</f>
        <v>35.769999999999996</v>
      </c>
      <c r="P66" s="132">
        <f t="shared" si="23"/>
        <v>403469.57767114951</v>
      </c>
      <c r="Q66" s="132">
        <f t="shared" si="24"/>
        <v>411109.83205688087</v>
      </c>
      <c r="R66" s="132">
        <f t="shared" si="25"/>
        <v>416502.37023313862</v>
      </c>
      <c r="S66" s="132">
        <f t="shared" si="26"/>
        <v>317396.0677679709</v>
      </c>
      <c r="T66" s="132">
        <f t="shared" si="27"/>
        <v>323406.40121807961</v>
      </c>
      <c r="U66" s="132">
        <f t="shared" si="28"/>
        <v>327648.53125006903</v>
      </c>
      <c r="V66" s="132">
        <f t="shared" si="15"/>
        <v>86073.509903178609</v>
      </c>
      <c r="W66" s="132">
        <f t="shared" si="16"/>
        <v>87703.430838801258</v>
      </c>
      <c r="X66" s="132">
        <f t="shared" si="17"/>
        <v>88853.838983069581</v>
      </c>
      <c r="Y66" s="132">
        <f t="shared" si="18"/>
        <v>262630.77972504945</v>
      </c>
      <c r="Z66" s="138">
        <f t="shared" si="19"/>
        <v>10.650095167558817</v>
      </c>
    </row>
    <row r="67" spans="1:26" outlineLevel="1" x14ac:dyDescent="0.3">
      <c r="A67" s="98" t="s">
        <v>62</v>
      </c>
      <c r="B67" s="132">
        <f>VLOOKUP(A67,Iedz_sk!$B$5:$Y$123,15,FALSE)</f>
        <v>9547</v>
      </c>
      <c r="C67" s="132">
        <f>VLOOKUP(A67,Iedz_sk!$B$5:$Y$123,16,FALSE)</f>
        <v>9451</v>
      </c>
      <c r="D67" s="132">
        <f>VLOOKUP(A67,Iedz_sk!$B$5:$Y$123,17,FALSE)</f>
        <v>9356</v>
      </c>
      <c r="E67" s="133">
        <f>VLOOKUP($A67,IKP!$Q$6:$AC$124,11,FALSE)</f>
        <v>123854.37506773382</v>
      </c>
      <c r="F67" s="133">
        <f>VLOOKUP($A67,IKP!$Q$6:$AC$124,12,FALSE)</f>
        <v>129260.72485821898</v>
      </c>
      <c r="G67" s="133">
        <f>VLOOKUP($A67,IKP!$Q$6:$AC$124,13,FALSE)</f>
        <v>133236.19646028301</v>
      </c>
      <c r="H67" s="132">
        <f>((-0.0000000006)*IKP!$J$5 + 0.0461)*E67</f>
        <v>3400.4176558166087</v>
      </c>
      <c r="I67" s="132">
        <f>((-0.0000000006)*IKP!$K$5 + 0.0461)*F67</f>
        <v>3425.9352043363397</v>
      </c>
      <c r="J67" s="132">
        <f>((-0.0000000006)*IKP!$L$5 + 0.0461)*G67</f>
        <v>3432.0876624652656</v>
      </c>
      <c r="K67" s="132">
        <f t="shared" si="20"/>
        <v>816.10023739598614</v>
      </c>
      <c r="L67" s="132">
        <f t="shared" si="21"/>
        <v>822.22444904072165</v>
      </c>
      <c r="M67" s="132">
        <f t="shared" si="22"/>
        <v>823.70103899166372</v>
      </c>
      <c r="N67" s="137">
        <f>VLOOKUP(A67,NSAmaksa_2021!$A$4:$N$138,12,FALSE)</f>
        <v>103.9</v>
      </c>
      <c r="O67" s="137">
        <f>VLOOKUP(A67,NSAmaksa_2021!$A$4:$N$138,14,FALSE)</f>
        <v>48.486666666666672</v>
      </c>
      <c r="P67" s="132">
        <f t="shared" si="23"/>
        <v>211982.03666360737</v>
      </c>
      <c r="Q67" s="132">
        <f t="shared" si="24"/>
        <v>213572.8006383274</v>
      </c>
      <c r="R67" s="132">
        <f t="shared" si="25"/>
        <v>213956.34487808467</v>
      </c>
      <c r="S67" s="132">
        <f t="shared" si="26"/>
        <v>166759.20217537115</v>
      </c>
      <c r="T67" s="132">
        <f t="shared" si="27"/>
        <v>168010.60316881756</v>
      </c>
      <c r="U67" s="132">
        <f t="shared" si="28"/>
        <v>168312.32463742659</v>
      </c>
      <c r="V67" s="132">
        <f t="shared" si="15"/>
        <v>45222.834488236229</v>
      </c>
      <c r="W67" s="132">
        <f t="shared" si="16"/>
        <v>45562.197469509847</v>
      </c>
      <c r="X67" s="132">
        <f t="shared" si="17"/>
        <v>45644.020240658079</v>
      </c>
      <c r="Y67" s="132">
        <f t="shared" si="18"/>
        <v>136429.05219840416</v>
      </c>
      <c r="Z67" s="138">
        <f t="shared" si="19"/>
        <v>14.436332523279335</v>
      </c>
    </row>
    <row r="68" spans="1:26" outlineLevel="1" x14ac:dyDescent="0.3">
      <c r="A68" s="98" t="s">
        <v>63</v>
      </c>
      <c r="B68" s="132">
        <f>VLOOKUP(A68,Iedz_sk!$B$5:$Y$123,15,FALSE)</f>
        <v>16744</v>
      </c>
      <c r="C68" s="132">
        <f>VLOOKUP(A68,Iedz_sk!$B$5:$Y$123,16,FALSE)</f>
        <v>16441</v>
      </c>
      <c r="D68" s="132">
        <f>VLOOKUP(A68,Iedz_sk!$B$5:$Y$123,17,FALSE)</f>
        <v>16138</v>
      </c>
      <c r="E68" s="133">
        <f>VLOOKUP($A68,IKP!$Q$6:$AC$124,11,FALSE)</f>
        <v>217221.91852248195</v>
      </c>
      <c r="F68" s="133">
        <f>VLOOKUP($A68,IKP!$Q$6:$AC$124,12,FALSE)</f>
        <v>224862.50951158378</v>
      </c>
      <c r="G68" s="133">
        <f>VLOOKUP($A68,IKP!$Q$6:$AC$124,13,FALSE)</f>
        <v>229816.77409962029</v>
      </c>
      <c r="H68" s="132">
        <f>((-0.0000000006)*IKP!$J$5 + 0.0461)*E68</f>
        <v>5963.8203864034031</v>
      </c>
      <c r="I68" s="132">
        <f>((-0.0000000006)*IKP!$K$5 + 0.0461)*F68</f>
        <v>5959.7715262399497</v>
      </c>
      <c r="J68" s="132">
        <f>((-0.0000000006)*IKP!$L$5 + 0.0461)*G68</f>
        <v>5919.9477016742685</v>
      </c>
      <c r="K68" s="132">
        <f t="shared" si="20"/>
        <v>1431.3168927368167</v>
      </c>
      <c r="L68" s="132">
        <f t="shared" si="21"/>
        <v>1430.3451662975881</v>
      </c>
      <c r="M68" s="132">
        <f t="shared" si="22"/>
        <v>1420.7874484018243</v>
      </c>
      <c r="N68" s="137">
        <f>VLOOKUP(A68,NSAmaksa_2021!$A$4:$N$138,12,FALSE)</f>
        <v>121.96799999999999</v>
      </c>
      <c r="O68" s="137">
        <f>VLOOKUP(A68,NSAmaksa_2021!$A$4:$N$138,14,FALSE)</f>
        <v>56.918399999999991</v>
      </c>
      <c r="P68" s="132">
        <f t="shared" si="23"/>
        <v>436437.14693331014</v>
      </c>
      <c r="Q68" s="132">
        <f t="shared" si="24"/>
        <v>436140.84810746042</v>
      </c>
      <c r="R68" s="132">
        <f t="shared" si="25"/>
        <v>433226.50876668427</v>
      </c>
      <c r="S68" s="132">
        <f t="shared" si="26"/>
        <v>343330.55558753724</v>
      </c>
      <c r="T68" s="132">
        <f t="shared" si="27"/>
        <v>343097.46717786882</v>
      </c>
      <c r="U68" s="132">
        <f t="shared" si="28"/>
        <v>340804.85356312495</v>
      </c>
      <c r="V68" s="132">
        <f t="shared" si="15"/>
        <v>93106.591345772904</v>
      </c>
      <c r="W68" s="132">
        <f t="shared" si="16"/>
        <v>93043.3809295916</v>
      </c>
      <c r="X68" s="132">
        <f t="shared" si="17"/>
        <v>92421.655203559319</v>
      </c>
      <c r="Y68" s="132">
        <f t="shared" si="18"/>
        <v>278571.62747892382</v>
      </c>
      <c r="Z68" s="138">
        <f t="shared" si="19"/>
        <v>16.946781570734693</v>
      </c>
    </row>
    <row r="69" spans="1:26" outlineLevel="1" x14ac:dyDescent="0.3">
      <c r="A69" s="98" t="s">
        <v>64</v>
      </c>
      <c r="B69" s="132">
        <f>VLOOKUP(A69,Iedz_sk!$B$5:$Y$123,15,FALSE)</f>
        <v>3258</v>
      </c>
      <c r="C69" s="132">
        <f>VLOOKUP(A69,Iedz_sk!$B$5:$Y$123,16,FALSE)</f>
        <v>3171</v>
      </c>
      <c r="D69" s="132">
        <f>VLOOKUP(A69,Iedz_sk!$B$5:$Y$123,17,FALSE)</f>
        <v>3085</v>
      </c>
      <c r="E69" s="133">
        <f>VLOOKUP($A69,IKP!$Q$6:$AC$124,11,FALSE)</f>
        <v>30766.232004046302</v>
      </c>
      <c r="F69" s="133">
        <f>VLOOKUP($A69,IKP!$Q$6:$AC$124,12,FALSE)</f>
        <v>32218.113331257835</v>
      </c>
      <c r="G69" s="133">
        <f>VLOOKUP($A69,IKP!$Q$6:$AC$124,13,FALSE)</f>
        <v>33325.209186916174</v>
      </c>
      <c r="H69" s="132">
        <f>((-0.0000000006)*IKP!$J$5 + 0.0461)*E69</f>
        <v>844.68585346537202</v>
      </c>
      <c r="I69" s="132">
        <f>((-0.0000000006)*IKP!$K$5 + 0.0461)*F69</f>
        <v>853.91110718218965</v>
      </c>
      <c r="J69" s="132">
        <f>((-0.0000000006)*IKP!$L$5 + 0.0461)*G69</f>
        <v>858.43818975711827</v>
      </c>
      <c r="K69" s="132">
        <f t="shared" ref="K69:K100" si="29">H69*$AB$6*$AB$5</f>
        <v>202.72460483168931</v>
      </c>
      <c r="L69" s="132">
        <f t="shared" ref="L69:L100" si="30">I69*$AB$6*$AB$5</f>
        <v>204.93866572372551</v>
      </c>
      <c r="M69" s="132">
        <f t="shared" ref="M69:M100" si="31">J69*$AB$6*$AB$5</f>
        <v>206.02516554170839</v>
      </c>
      <c r="N69" s="137">
        <f>VLOOKUP(A69,NSAmaksa_2021!$A$4:$N$138,12,FALSE)</f>
        <v>123.84350000000001</v>
      </c>
      <c r="O69" s="137">
        <f>VLOOKUP(A69,NSAmaksa_2021!$A$4:$N$138,14,FALSE)</f>
        <v>57.793633333333325</v>
      </c>
      <c r="P69" s="132">
        <f t="shared" si="23"/>
        <v>62765.311496183276</v>
      </c>
      <c r="Q69" s="132">
        <f t="shared" si="24"/>
        <v>63450.804121390494</v>
      </c>
      <c r="R69" s="132">
        <f t="shared" si="25"/>
        <v>63787.193971911409</v>
      </c>
      <c r="S69" s="132">
        <f t="shared" si="26"/>
        <v>49375.378376997513</v>
      </c>
      <c r="T69" s="132">
        <f t="shared" si="27"/>
        <v>49914.632575493859</v>
      </c>
      <c r="U69" s="132">
        <f t="shared" si="28"/>
        <v>50179.259257903635</v>
      </c>
      <c r="V69" s="132">
        <f t="shared" si="15"/>
        <v>13389.933119185764</v>
      </c>
      <c r="W69" s="132">
        <f t="shared" si="16"/>
        <v>13536.171545896636</v>
      </c>
      <c r="X69" s="132">
        <f t="shared" si="17"/>
        <v>13607.934714007773</v>
      </c>
      <c r="Y69" s="132">
        <f t="shared" si="18"/>
        <v>40534.039379090173</v>
      </c>
      <c r="Z69" s="138">
        <f t="shared" si="19"/>
        <v>12.789601798927478</v>
      </c>
    </row>
    <row r="70" spans="1:26" outlineLevel="1" x14ac:dyDescent="0.3">
      <c r="A70" s="98" t="s">
        <v>65</v>
      </c>
      <c r="B70" s="132">
        <f>VLOOKUP(A70,Iedz_sk!$B$5:$Y$123,15,FALSE)</f>
        <v>10636</v>
      </c>
      <c r="C70" s="132">
        <f>VLOOKUP(A70,Iedz_sk!$B$5:$Y$123,16,FALSE)</f>
        <v>10414</v>
      </c>
      <c r="D70" s="132">
        <f>VLOOKUP(A70,Iedz_sk!$B$5:$Y$123,17,FALSE)</f>
        <v>10192</v>
      </c>
      <c r="E70" s="133">
        <f>VLOOKUP($A70,IKP!$Q$6:$AC$124,11,FALSE)</f>
        <v>69941.285365255855</v>
      </c>
      <c r="F70" s="133">
        <f>VLOOKUP($A70,IKP!$Q$6:$AC$124,12,FALSE)</f>
        <v>73664.223684427212</v>
      </c>
      <c r="G70" s="133">
        <f>VLOOKUP($A70,IKP!$Q$6:$AC$124,13,FALSE)</f>
        <v>76633.107364724608</v>
      </c>
      <c r="H70" s="132">
        <f>((-0.0000000006)*IKP!$J$5 + 0.0461)*E70</f>
        <v>1920.235611349691</v>
      </c>
      <c r="I70" s="132">
        <f>((-0.0000000006)*IKP!$K$5 + 0.0461)*F70</f>
        <v>1952.4016865710717</v>
      </c>
      <c r="J70" s="132">
        <f>((-0.0000000006)*IKP!$L$5 + 0.0461)*G70</f>
        <v>1974.0246968191539</v>
      </c>
      <c r="K70" s="132">
        <f t="shared" si="29"/>
        <v>460.85654672392582</v>
      </c>
      <c r="L70" s="132">
        <f t="shared" si="30"/>
        <v>468.57640477705718</v>
      </c>
      <c r="M70" s="132">
        <f t="shared" si="31"/>
        <v>473.76592723659689</v>
      </c>
      <c r="N70" s="137">
        <f>VLOOKUP(A70,NSAmaksa_2021!$A$4:$N$138,12,FALSE)</f>
        <v>115.85</v>
      </c>
      <c r="O70" s="137">
        <f>VLOOKUP(A70,NSAmaksa_2021!$A$4:$N$138,14,FALSE)</f>
        <v>54.06333333333334</v>
      </c>
      <c r="P70" s="132">
        <f t="shared" ref="P70:P101" si="32">H70*$AB$5*$N70</f>
        <v>133475.57734491702</v>
      </c>
      <c r="Q70" s="132">
        <f t="shared" ref="Q70:Q101" si="33">I70*$AB$5*$N70</f>
        <v>135711.44123355518</v>
      </c>
      <c r="R70" s="132">
        <f t="shared" ref="R70:R101" si="34">J70*$AB$5*$N70</f>
        <v>137214.45667589936</v>
      </c>
      <c r="S70" s="132">
        <f t="shared" ref="S70:S101" si="35">H70*$AB$5*(1-$AB$6)*$N70+K70*$O70</f>
        <v>105000.78751133473</v>
      </c>
      <c r="T70" s="132">
        <f t="shared" ref="T70:T101" si="36">I70*$AB$5*(1-$AB$6)*$N70+L70*$O70</f>
        <v>106759.66710373008</v>
      </c>
      <c r="U70" s="132">
        <f t="shared" ref="U70:U101" si="37">J70*$AB$5*(1-$AB$6)*$N70+M70*$O70</f>
        <v>107942.03925170749</v>
      </c>
      <c r="V70" s="132">
        <f t="shared" si="15"/>
        <v>28474.789833582297</v>
      </c>
      <c r="W70" s="132">
        <f t="shared" si="16"/>
        <v>28951.774129825091</v>
      </c>
      <c r="X70" s="132">
        <f t="shared" si="17"/>
        <v>29272.417424191866</v>
      </c>
      <c r="Y70" s="132">
        <f t="shared" si="18"/>
        <v>86698.981387599255</v>
      </c>
      <c r="Z70" s="138">
        <f t="shared" si="19"/>
        <v>8.3293880098334743</v>
      </c>
    </row>
    <row r="71" spans="1:26" outlineLevel="1" x14ac:dyDescent="0.3">
      <c r="A71" s="98" t="s">
        <v>66</v>
      </c>
      <c r="B71" s="132">
        <f>VLOOKUP(A71,Iedz_sk!$B$5:$Y$123,15,FALSE)</f>
        <v>2163</v>
      </c>
      <c r="C71" s="132">
        <f>VLOOKUP(A71,Iedz_sk!$B$5:$Y$123,16,FALSE)</f>
        <v>2123</v>
      </c>
      <c r="D71" s="132">
        <f>VLOOKUP(A71,Iedz_sk!$B$5:$Y$123,17,FALSE)</f>
        <v>2083</v>
      </c>
      <c r="E71" s="133">
        <f>VLOOKUP($A71,IKP!$Q$6:$AC$124,11,FALSE)</f>
        <v>20425.831744859472</v>
      </c>
      <c r="F71" s="133">
        <f>VLOOKUP($A71,IKP!$Q$6:$AC$124,12,FALSE)</f>
        <v>21570.184358959439</v>
      </c>
      <c r="G71" s="133">
        <f>VLOOKUP($A71,IKP!$Q$6:$AC$124,13,FALSE)</f>
        <v>22501.267661700615</v>
      </c>
      <c r="H71" s="132">
        <f>((-0.0000000006)*IKP!$J$5 + 0.0461)*E71</f>
        <v>560.79051597470834</v>
      </c>
      <c r="I71" s="132">
        <f>((-0.0000000006)*IKP!$K$5 + 0.0461)*F71</f>
        <v>571.69766021689964</v>
      </c>
      <c r="J71" s="132">
        <f>((-0.0000000006)*IKP!$L$5 + 0.0461)*G71</f>
        <v>579.61969181979816</v>
      </c>
      <c r="K71" s="132">
        <f t="shared" si="29"/>
        <v>134.58972383393001</v>
      </c>
      <c r="L71" s="132">
        <f t="shared" si="30"/>
        <v>137.20743845205592</v>
      </c>
      <c r="M71" s="132">
        <f t="shared" si="31"/>
        <v>139.10872603675156</v>
      </c>
      <c r="N71" s="137">
        <f>VLOOKUP(A71,NSAmaksa_2021!$A$4:$N$138,12,FALSE)</f>
        <v>99.15</v>
      </c>
      <c r="O71" s="137">
        <f>VLOOKUP(A71,NSAmaksa_2021!$A$4:$N$138,14,FALSE)</f>
        <v>46.269999999999996</v>
      </c>
      <c r="P71" s="132">
        <f t="shared" si="32"/>
        <v>33361.427795335403</v>
      </c>
      <c r="Q71" s="132">
        <f t="shared" si="33"/>
        <v>34010.293806303358</v>
      </c>
      <c r="R71" s="132">
        <f t="shared" si="34"/>
        <v>34481.575466359791</v>
      </c>
      <c r="S71" s="132">
        <f t="shared" si="35"/>
        <v>26244.323198997179</v>
      </c>
      <c r="T71" s="132">
        <f t="shared" si="36"/>
        <v>26754.764460958642</v>
      </c>
      <c r="U71" s="132">
        <f t="shared" si="37"/>
        <v>27125.506033536367</v>
      </c>
      <c r="V71" s="132">
        <f t="shared" si="15"/>
        <v>7117.1045963382239</v>
      </c>
      <c r="W71" s="132">
        <f t="shared" si="16"/>
        <v>7255.5293453447157</v>
      </c>
      <c r="X71" s="132">
        <f t="shared" si="17"/>
        <v>7356.069432823424</v>
      </c>
      <c r="Y71" s="132">
        <f t="shared" si="18"/>
        <v>21728.703374506364</v>
      </c>
      <c r="Z71" s="138">
        <f t="shared" si="19"/>
        <v>10.239447515321029</v>
      </c>
    </row>
    <row r="72" spans="1:26" outlineLevel="1" x14ac:dyDescent="0.3">
      <c r="A72" s="98" t="s">
        <v>67</v>
      </c>
      <c r="B72" s="132">
        <f>VLOOKUP(A72,Iedz_sk!$B$5:$Y$123,15,FALSE)</f>
        <v>11739</v>
      </c>
      <c r="C72" s="132">
        <f>VLOOKUP(A72,Iedz_sk!$B$5:$Y$123,16,FALSE)</f>
        <v>11499</v>
      </c>
      <c r="D72" s="132">
        <f>VLOOKUP(A72,Iedz_sk!$B$5:$Y$123,17,FALSE)</f>
        <v>11259</v>
      </c>
      <c r="E72" s="133">
        <f>VLOOKUP($A72,IKP!$Q$6:$AC$124,11,FALSE)</f>
        <v>77194.504409809932</v>
      </c>
      <c r="F72" s="133">
        <f>VLOOKUP($A72,IKP!$Q$6:$AC$124,12,FALSE)</f>
        <v>81339.053979952805</v>
      </c>
      <c r="G72" s="133">
        <f>VLOOKUP($A72,IKP!$Q$6:$AC$124,13,FALSE)</f>
        <v>84655.823765643087</v>
      </c>
      <c r="H72" s="132">
        <f>((-0.0000000006)*IKP!$J$5 + 0.0461)*E72</f>
        <v>2119.3724935722094</v>
      </c>
      <c r="I72" s="132">
        <f>((-0.0000000006)*IKP!$K$5 + 0.0461)*F72</f>
        <v>2155.8159202881461</v>
      </c>
      <c r="J72" s="132">
        <f>((-0.0000000006)*IKP!$L$5 + 0.0461)*G72</f>
        <v>2180.6852493609549</v>
      </c>
      <c r="K72" s="132">
        <f t="shared" si="29"/>
        <v>508.64939845733022</v>
      </c>
      <c r="L72" s="132">
        <f t="shared" si="30"/>
        <v>517.39582086915505</v>
      </c>
      <c r="M72" s="132">
        <f t="shared" si="31"/>
        <v>523.36445984662919</v>
      </c>
      <c r="N72" s="137">
        <f>VLOOKUP(A72,NSAmaksa_2021!$A$4:$N$138,12,FALSE)</f>
        <v>90.7</v>
      </c>
      <c r="O72" s="137">
        <f>VLOOKUP(A72,NSAmaksa_2021!$A$4:$N$138,14,FALSE)</f>
        <v>42.326666666666668</v>
      </c>
      <c r="P72" s="132">
        <f t="shared" si="32"/>
        <v>115336.25110019963</v>
      </c>
      <c r="Q72" s="132">
        <f t="shared" si="33"/>
        <v>117319.50238208091</v>
      </c>
      <c r="R72" s="132">
        <f t="shared" si="34"/>
        <v>118672.89127022316</v>
      </c>
      <c r="S72" s="132">
        <f t="shared" si="35"/>
        <v>90731.184198823714</v>
      </c>
      <c r="T72" s="132">
        <f t="shared" si="36"/>
        <v>92291.341873903657</v>
      </c>
      <c r="U72" s="132">
        <f t="shared" si="37"/>
        <v>93356.00779924223</v>
      </c>
      <c r="V72" s="132">
        <f t="shared" ref="V72:V129" si="38">P72-S72</f>
        <v>24605.066901375918</v>
      </c>
      <c r="W72" s="132">
        <f t="shared" ref="W72:W129" si="39">Q72-T72</f>
        <v>25028.160508177258</v>
      </c>
      <c r="X72" s="132">
        <f t="shared" ref="X72:X129" si="40">R72-U72</f>
        <v>25316.883470980931</v>
      </c>
      <c r="Y72" s="132">
        <f t="shared" ref="Y72:Y129" si="41">SUM(V72:X72)</f>
        <v>74950.110880534106</v>
      </c>
      <c r="Z72" s="138">
        <f t="shared" ref="Z72:Z129" si="42">V72/B72+W72/C72+X72/D72</f>
        <v>6.521152287370704</v>
      </c>
    </row>
    <row r="73" spans="1:26" outlineLevel="1" x14ac:dyDescent="0.3">
      <c r="A73" s="98" t="s">
        <v>68</v>
      </c>
      <c r="B73" s="132">
        <f>VLOOKUP(A73,Iedz_sk!$B$5:$Y$123,15,FALSE)</f>
        <v>21676</v>
      </c>
      <c r="C73" s="132">
        <f>VLOOKUP(A73,Iedz_sk!$B$5:$Y$123,16,FALSE)</f>
        <v>21228</v>
      </c>
      <c r="D73" s="132">
        <f>VLOOKUP(A73,Iedz_sk!$B$5:$Y$123,17,FALSE)</f>
        <v>20780</v>
      </c>
      <c r="E73" s="133">
        <f>VLOOKUP($A73,IKP!$Q$6:$AC$124,11,FALSE)</f>
        <v>204692.70869235962</v>
      </c>
      <c r="F73" s="133">
        <f>VLOOKUP($A73,IKP!$Q$6:$AC$124,12,FALSE)</f>
        <v>215681.52311445642</v>
      </c>
      <c r="G73" s="133">
        <f>VLOOKUP($A73,IKP!$Q$6:$AC$124,13,FALSE)</f>
        <v>224472.55977443053</v>
      </c>
      <c r="H73" s="132">
        <f>((-0.0000000006)*IKP!$J$5 + 0.0461)*E73</f>
        <v>5619.8313565731751</v>
      </c>
      <c r="I73" s="132">
        <f>((-0.0000000006)*IKP!$K$5 + 0.0461)*F73</f>
        <v>5716.4380268885279</v>
      </c>
      <c r="J73" s="132">
        <f>((-0.0000000006)*IKP!$L$5 + 0.0461)*G73</f>
        <v>5782.2838194985152</v>
      </c>
      <c r="K73" s="132">
        <f t="shared" si="29"/>
        <v>1348.759525577562</v>
      </c>
      <c r="L73" s="132">
        <f t="shared" si="30"/>
        <v>1371.9451264532468</v>
      </c>
      <c r="M73" s="132">
        <f t="shared" si="31"/>
        <v>1387.7481166796435</v>
      </c>
      <c r="N73" s="137">
        <f>VLOOKUP(A73,NSAmaksa_2021!$A$4:$N$138,12,FALSE)</f>
        <v>107.52083388338833</v>
      </c>
      <c r="O73" s="137">
        <f>VLOOKUP(A73,NSAmaksa_2021!$A$4:$N$138,14,FALSE)</f>
        <v>50.176389145581219</v>
      </c>
      <c r="P73" s="132">
        <f t="shared" si="32"/>
        <v>362549.37224565673</v>
      </c>
      <c r="Q73" s="132">
        <f t="shared" si="33"/>
        <v>368781.71009625937</v>
      </c>
      <c r="R73" s="132">
        <f t="shared" si="34"/>
        <v>373029.58681374247</v>
      </c>
      <c r="S73" s="132">
        <f t="shared" si="35"/>
        <v>285205.50616658328</v>
      </c>
      <c r="T73" s="132">
        <f t="shared" si="36"/>
        <v>290108.27860905736</v>
      </c>
      <c r="U73" s="132">
        <f t="shared" si="37"/>
        <v>293449.9416268107</v>
      </c>
      <c r="V73" s="132">
        <f t="shared" si="38"/>
        <v>77343.866079073458</v>
      </c>
      <c r="W73" s="132">
        <f t="shared" si="39"/>
        <v>78673.431487202004</v>
      </c>
      <c r="X73" s="132">
        <f t="shared" si="40"/>
        <v>79579.645186931768</v>
      </c>
      <c r="Y73" s="132">
        <f t="shared" si="41"/>
        <v>235596.94275320723</v>
      </c>
      <c r="Z73" s="138">
        <f t="shared" si="42"/>
        <v>11.103922696444839</v>
      </c>
    </row>
    <row r="74" spans="1:26" outlineLevel="1" x14ac:dyDescent="0.3">
      <c r="A74" s="98" t="s">
        <v>69</v>
      </c>
      <c r="B74" s="132">
        <f>VLOOKUP(A74,Iedz_sk!$B$5:$Y$123,15,FALSE)</f>
        <v>2867</v>
      </c>
      <c r="C74" s="132">
        <f>VLOOKUP(A74,Iedz_sk!$B$5:$Y$123,16,FALSE)</f>
        <v>2790</v>
      </c>
      <c r="D74" s="132">
        <f>VLOOKUP(A74,Iedz_sk!$B$5:$Y$123,17,FALSE)</f>
        <v>2714</v>
      </c>
      <c r="E74" s="133">
        <f>VLOOKUP($A74,IKP!$Q$6:$AC$124,11,FALSE)</f>
        <v>27073.90643204443</v>
      </c>
      <c r="F74" s="133">
        <f>VLOOKUP($A74,IKP!$Q$6:$AC$124,12,FALSE)</f>
        <v>28347.062817473779</v>
      </c>
      <c r="G74" s="133">
        <f>VLOOKUP($A74,IKP!$Q$6:$AC$124,13,FALSE)</f>
        <v>29317.542215005025</v>
      </c>
      <c r="H74" s="132">
        <f>((-0.0000000006)*IKP!$J$5 + 0.0461)*E74</f>
        <v>743.3131804435917</v>
      </c>
      <c r="I74" s="132">
        <f>((-0.0000000006)*IKP!$K$5 + 0.0461)*F74</f>
        <v>751.31251625301456</v>
      </c>
      <c r="J74" s="132">
        <f>((-0.0000000006)*IKP!$L$5 + 0.0461)*G74</f>
        <v>755.20299740707264</v>
      </c>
      <c r="K74" s="132">
        <f t="shared" si="29"/>
        <v>178.39516330646202</v>
      </c>
      <c r="L74" s="132">
        <f t="shared" si="30"/>
        <v>180.3150039007235</v>
      </c>
      <c r="M74" s="132">
        <f t="shared" si="31"/>
        <v>181.24871937769746</v>
      </c>
      <c r="N74" s="137">
        <f>VLOOKUP(A74,NSAmaksa_2021!$A$4:$N$138,12,FALSE)</f>
        <v>123.84350000000001</v>
      </c>
      <c r="O74" s="137">
        <f>VLOOKUP(A74,NSAmaksa_2021!$A$4:$N$138,14,FALSE)</f>
        <v>57.793633333333325</v>
      </c>
      <c r="P74" s="132">
        <f t="shared" si="32"/>
        <v>55232.703517359565</v>
      </c>
      <c r="Q74" s="132">
        <f t="shared" si="33"/>
        <v>55827.102963948128</v>
      </c>
      <c r="R74" s="132">
        <f t="shared" si="34"/>
        <v>56116.18944562968</v>
      </c>
      <c r="S74" s="132">
        <f t="shared" si="35"/>
        <v>43449.726766989523</v>
      </c>
      <c r="T74" s="132">
        <f t="shared" si="36"/>
        <v>43917.320998305848</v>
      </c>
      <c r="U74" s="132">
        <f t="shared" si="37"/>
        <v>44144.735697228673</v>
      </c>
      <c r="V74" s="132">
        <f t="shared" si="38"/>
        <v>11782.976750370042</v>
      </c>
      <c r="W74" s="132">
        <f t="shared" si="39"/>
        <v>11909.78196564228</v>
      </c>
      <c r="X74" s="132">
        <f t="shared" si="40"/>
        <v>11971.453748401007</v>
      </c>
      <c r="Y74" s="132">
        <f t="shared" si="41"/>
        <v>35664.212464413329</v>
      </c>
      <c r="Z74" s="138">
        <f t="shared" si="42"/>
        <v>12.789601798927487</v>
      </c>
    </row>
    <row r="75" spans="1:26" outlineLevel="1" x14ac:dyDescent="0.3">
      <c r="A75" s="98" t="s">
        <v>70</v>
      </c>
      <c r="B75" s="132">
        <f>VLOOKUP(A75,Iedz_sk!$B$5:$Y$123,15,FALSE)</f>
        <v>3324</v>
      </c>
      <c r="C75" s="132">
        <f>VLOOKUP(A75,Iedz_sk!$B$5:$Y$123,16,FALSE)</f>
        <v>3296</v>
      </c>
      <c r="D75" s="132">
        <f>VLOOKUP(A75,Iedz_sk!$B$5:$Y$123,17,FALSE)</f>
        <v>3268</v>
      </c>
      <c r="E75" s="133">
        <f>VLOOKUP($A75,IKP!$Q$6:$AC$124,11,FALSE)</f>
        <v>43122.650332580626</v>
      </c>
      <c r="F75" s="133">
        <f>VLOOKUP($A75,IKP!$Q$6:$AC$124,12,FALSE)</f>
        <v>45079.182005363429</v>
      </c>
      <c r="G75" s="133">
        <f>VLOOKUP($A75,IKP!$Q$6:$AC$124,13,FALSE)</f>
        <v>46538.679994891507</v>
      </c>
      <c r="H75" s="132">
        <f>((-0.0000000006)*IKP!$J$5 + 0.0461)*E75</f>
        <v>1183.9308984952768</v>
      </c>
      <c r="I75" s="132">
        <f>((-0.0000000006)*IKP!$K$5 + 0.0461)*F75</f>
        <v>1194.7817620878823</v>
      </c>
      <c r="J75" s="132">
        <f>((-0.0000000006)*IKP!$L$5 + 0.0461)*G75</f>
        <v>1198.8095853929551</v>
      </c>
      <c r="K75" s="132">
        <f t="shared" si="29"/>
        <v>284.14341563886643</v>
      </c>
      <c r="L75" s="132">
        <f t="shared" si="30"/>
        <v>286.74762290109175</v>
      </c>
      <c r="M75" s="132">
        <f t="shared" si="31"/>
        <v>287.71430049430921</v>
      </c>
      <c r="N75" s="137">
        <f>VLOOKUP(A75,NSAmaksa_2021!$A$4:$N$138,12,FALSE)</f>
        <v>102.55</v>
      </c>
      <c r="O75" s="137">
        <f>VLOOKUP(A75,NSAmaksa_2021!$A$4:$N$138,14,FALSE)</f>
        <v>63.366666666666674</v>
      </c>
      <c r="P75" s="132">
        <f t="shared" si="32"/>
        <v>72847.268184414381</v>
      </c>
      <c r="Q75" s="132">
        <f t="shared" si="33"/>
        <v>73514.921821267388</v>
      </c>
      <c r="R75" s="132">
        <f t="shared" si="34"/>
        <v>73762.753789228533</v>
      </c>
      <c r="S75" s="132">
        <f t="shared" si="35"/>
        <v>61713.582014964799</v>
      </c>
      <c r="T75" s="132">
        <f t="shared" si="36"/>
        <v>62279.19413059295</v>
      </c>
      <c r="U75" s="132">
        <f t="shared" si="37"/>
        <v>62489.148448193169</v>
      </c>
      <c r="V75" s="132">
        <f t="shared" si="38"/>
        <v>11133.686169449582</v>
      </c>
      <c r="W75" s="132">
        <f t="shared" si="39"/>
        <v>11235.727690674437</v>
      </c>
      <c r="X75" s="132">
        <f t="shared" si="40"/>
        <v>11273.605341035363</v>
      </c>
      <c r="Y75" s="132">
        <f t="shared" si="41"/>
        <v>33643.019201159383</v>
      </c>
      <c r="Z75" s="138">
        <f t="shared" si="42"/>
        <v>10.208078008370343</v>
      </c>
    </row>
    <row r="76" spans="1:26" outlineLevel="1" x14ac:dyDescent="0.3">
      <c r="A76" s="98" t="s">
        <v>71</v>
      </c>
      <c r="B76" s="132">
        <f>VLOOKUP(A76,Iedz_sk!$B$5:$Y$123,15,FALSE)</f>
        <v>21577</v>
      </c>
      <c r="C76" s="132">
        <f>VLOOKUP(A76,Iedz_sk!$B$5:$Y$123,16,FALSE)</f>
        <v>22373</v>
      </c>
      <c r="D76" s="132">
        <f>VLOOKUP(A76,Iedz_sk!$B$5:$Y$123,17,FALSE)</f>
        <v>23169</v>
      </c>
      <c r="E76" s="133">
        <f>VLOOKUP($A76,IKP!$Q$6:$AC$124,11,FALSE)</f>
        <v>279921.00668654998</v>
      </c>
      <c r="F76" s="133">
        <f>VLOOKUP($A76,IKP!$Q$6:$AC$124,12,FALSE)</f>
        <v>305994.09557220753</v>
      </c>
      <c r="G76" s="133">
        <f>VLOOKUP($A76,IKP!$Q$6:$AC$124,13,FALSE)</f>
        <v>329943.29155496979</v>
      </c>
      <c r="H76" s="132">
        <f>((-0.0000000006)*IKP!$J$5 + 0.0461)*E76</f>
        <v>7685.2217198653989</v>
      </c>
      <c r="I76" s="132">
        <f>((-0.0000000006)*IKP!$K$5 + 0.0461)*F76</f>
        <v>8110.0887024248159</v>
      </c>
      <c r="J76" s="132">
        <f>((-0.0000000006)*IKP!$L$5 + 0.0461)*G76</f>
        <v>8499.1491077017672</v>
      </c>
      <c r="K76" s="132">
        <f t="shared" si="29"/>
        <v>1844.4532127676957</v>
      </c>
      <c r="L76" s="132">
        <f t="shared" si="30"/>
        <v>1946.4212885819559</v>
      </c>
      <c r="M76" s="132">
        <f t="shared" si="31"/>
        <v>2039.7957858484242</v>
      </c>
      <c r="N76" s="137">
        <f>VLOOKUP(A76,NSAmaksa_2021!$A$4:$N$138,12,FALSE)</f>
        <v>63.45</v>
      </c>
      <c r="O76" s="137">
        <f>VLOOKUP(A76,NSAmaksa_2021!$A$4:$N$138,14,FALSE)</f>
        <v>29.609999999999996</v>
      </c>
      <c r="P76" s="132">
        <f t="shared" si="32"/>
        <v>292576.39087527577</v>
      </c>
      <c r="Q76" s="132">
        <f t="shared" si="33"/>
        <v>308751.07690131274</v>
      </c>
      <c r="R76" s="132">
        <f t="shared" si="34"/>
        <v>323562.60653020628</v>
      </c>
      <c r="S76" s="132">
        <f t="shared" si="35"/>
        <v>230160.09415521691</v>
      </c>
      <c r="T76" s="132">
        <f t="shared" si="36"/>
        <v>242884.18049569937</v>
      </c>
      <c r="U76" s="132">
        <f t="shared" si="37"/>
        <v>254535.91713709562</v>
      </c>
      <c r="V76" s="132">
        <f t="shared" si="38"/>
        <v>62416.296720058861</v>
      </c>
      <c r="W76" s="132">
        <f t="shared" si="39"/>
        <v>65866.89640561337</v>
      </c>
      <c r="X76" s="132">
        <f t="shared" si="40"/>
        <v>69026.689393110661</v>
      </c>
      <c r="Y76" s="132">
        <f t="shared" si="41"/>
        <v>197309.88251878289</v>
      </c>
      <c r="Z76" s="138">
        <f t="shared" si="42"/>
        <v>8.8160278979987847</v>
      </c>
    </row>
    <row r="77" spans="1:26" outlineLevel="1" x14ac:dyDescent="0.3">
      <c r="A77" s="98" t="s">
        <v>72</v>
      </c>
      <c r="B77" s="132">
        <f>VLOOKUP(A77,Iedz_sk!$B$5:$Y$123,15,FALSE)</f>
        <v>1431</v>
      </c>
      <c r="C77" s="132">
        <f>VLOOKUP(A77,Iedz_sk!$B$5:$Y$123,16,FALSE)</f>
        <v>1408</v>
      </c>
      <c r="D77" s="132">
        <f>VLOOKUP(A77,Iedz_sk!$B$5:$Y$123,17,FALSE)</f>
        <v>1385</v>
      </c>
      <c r="E77" s="133">
        <f>VLOOKUP($A77,IKP!$Q$6:$AC$124,11,FALSE)</f>
        <v>13710.647733851087</v>
      </c>
      <c r="F77" s="133">
        <f>VLOOKUP($A77,IKP!$Q$6:$AC$124,12,FALSE)</f>
        <v>14435.733180332787</v>
      </c>
      <c r="G77" s="133">
        <f>VLOOKUP($A77,IKP!$Q$6:$AC$124,13,FALSE)</f>
        <v>15011.99204933293</v>
      </c>
      <c r="H77" s="132">
        <f>((-0.0000000006)*IKP!$J$5 + 0.0461)*E77</f>
        <v>376.42536730230546</v>
      </c>
      <c r="I77" s="132">
        <f>((-0.0000000006)*IKP!$K$5 + 0.0461)*F77</f>
        <v>382.60567204117496</v>
      </c>
      <c r="J77" s="132">
        <f>((-0.0000000006)*IKP!$L$5 + 0.0461)*G77</f>
        <v>386.70026667190831</v>
      </c>
      <c r="K77" s="132">
        <f t="shared" si="29"/>
        <v>90.342088152553302</v>
      </c>
      <c r="L77" s="132">
        <f t="shared" si="30"/>
        <v>91.825361289881997</v>
      </c>
      <c r="M77" s="132">
        <f t="shared" si="31"/>
        <v>92.808064001257989</v>
      </c>
      <c r="N77" s="137">
        <f>VLOOKUP(A77,NSAmaksa_2021!$A$4:$N$138,12,FALSE)</f>
        <v>86.05</v>
      </c>
      <c r="O77" s="137">
        <f>VLOOKUP(A77,NSAmaksa_2021!$A$4:$N$138,14,FALSE)</f>
        <v>63.533333333333331</v>
      </c>
      <c r="P77" s="132">
        <f t="shared" si="32"/>
        <v>19434.84171381803</v>
      </c>
      <c r="Q77" s="132">
        <f t="shared" si="33"/>
        <v>19753.930847485863</v>
      </c>
      <c r="R77" s="132">
        <f t="shared" si="34"/>
        <v>19965.334768270626</v>
      </c>
      <c r="S77" s="132">
        <f t="shared" si="35"/>
        <v>17400.639028916368</v>
      </c>
      <c r="T77" s="132">
        <f t="shared" si="36"/>
        <v>17686.329795775353</v>
      </c>
      <c r="U77" s="132">
        <f t="shared" si="37"/>
        <v>17875.606527175631</v>
      </c>
      <c r="V77" s="132">
        <f t="shared" si="38"/>
        <v>2034.202684901662</v>
      </c>
      <c r="W77" s="132">
        <f t="shared" si="39"/>
        <v>2067.6010517105096</v>
      </c>
      <c r="X77" s="132">
        <f t="shared" si="40"/>
        <v>2089.7282410949956</v>
      </c>
      <c r="Y77" s="132">
        <f t="shared" si="41"/>
        <v>6191.5319777071672</v>
      </c>
      <c r="Z77" s="138">
        <f t="shared" si="42"/>
        <v>4.398820997430839</v>
      </c>
    </row>
    <row r="78" spans="1:26" outlineLevel="1" x14ac:dyDescent="0.3">
      <c r="A78" s="98" t="s">
        <v>73</v>
      </c>
      <c r="B78" s="132">
        <f>VLOOKUP(A78,Iedz_sk!$B$5:$Y$123,15,FALSE)</f>
        <v>1689</v>
      </c>
      <c r="C78" s="132">
        <f>VLOOKUP(A78,Iedz_sk!$B$5:$Y$123,16,FALSE)</f>
        <v>1642</v>
      </c>
      <c r="D78" s="132">
        <f>VLOOKUP(A78,Iedz_sk!$B$5:$Y$123,17,FALSE)</f>
        <v>1596</v>
      </c>
      <c r="E78" s="133">
        <f>VLOOKUP($A78,IKP!$Q$6:$AC$124,11,FALSE)</f>
        <v>15949.713276499142</v>
      </c>
      <c r="F78" s="133">
        <f>VLOOKUP($A78,IKP!$Q$6:$AC$124,12,FALSE)</f>
        <v>16683.110088276684</v>
      </c>
      <c r="G78" s="133">
        <f>VLOOKUP($A78,IKP!$Q$6:$AC$124,13,FALSE)</f>
        <v>17240.529615014009</v>
      </c>
      <c r="H78" s="132">
        <f>((-0.0000000006)*IKP!$J$5 + 0.0461)*E78</f>
        <v>437.89883563628405</v>
      </c>
      <c r="I78" s="132">
        <f>((-0.0000000006)*IKP!$K$5 + 0.0461)*F78</f>
        <v>442.17030526431898</v>
      </c>
      <c r="J78" s="132">
        <f>((-0.0000000006)*IKP!$L$5 + 0.0461)*G78</f>
        <v>444.10611048698894</v>
      </c>
      <c r="K78" s="132">
        <f t="shared" si="29"/>
        <v>105.09572055270817</v>
      </c>
      <c r="L78" s="132">
        <f t="shared" si="30"/>
        <v>106.12087326343655</v>
      </c>
      <c r="M78" s="132">
        <f t="shared" si="31"/>
        <v>106.58546651687735</v>
      </c>
      <c r="N78" s="137">
        <f>VLOOKUP(A78,NSAmaksa_2021!$A$4:$N$138,12,FALSE)</f>
        <v>123.84350000000001</v>
      </c>
      <c r="O78" s="137">
        <f>VLOOKUP(A78,NSAmaksa_2021!$A$4:$N$138,14,FALSE)</f>
        <v>57.793633333333325</v>
      </c>
      <c r="P78" s="132">
        <f t="shared" si="32"/>
        <v>32538.554670673286</v>
      </c>
      <c r="Q78" s="132">
        <f t="shared" si="33"/>
        <v>32855.950920001014</v>
      </c>
      <c r="R78" s="132">
        <f t="shared" si="34"/>
        <v>32999.793056457253</v>
      </c>
      <c r="S78" s="132">
        <f t="shared" si="35"/>
        <v>25596.996340929651</v>
      </c>
      <c r="T78" s="132">
        <f t="shared" si="36"/>
        <v>25846.681390400798</v>
      </c>
      <c r="U78" s="132">
        <f t="shared" si="37"/>
        <v>25959.837204413037</v>
      </c>
      <c r="V78" s="132">
        <f t="shared" si="38"/>
        <v>6941.5583297436351</v>
      </c>
      <c r="W78" s="132">
        <f t="shared" si="39"/>
        <v>7009.2695296002166</v>
      </c>
      <c r="X78" s="132">
        <f t="shared" si="40"/>
        <v>7039.9558520442151</v>
      </c>
      <c r="Y78" s="132">
        <f t="shared" si="41"/>
        <v>20990.783711388067</v>
      </c>
      <c r="Z78" s="138">
        <f t="shared" si="42"/>
        <v>12.78960179892748</v>
      </c>
    </row>
    <row r="79" spans="1:26" outlineLevel="1" x14ac:dyDescent="0.3">
      <c r="A79" s="98" t="s">
        <v>74</v>
      </c>
      <c r="B79" s="132">
        <f>VLOOKUP(A79,Iedz_sk!$B$5:$Y$123,15,FALSE)</f>
        <v>3278</v>
      </c>
      <c r="C79" s="132">
        <f>VLOOKUP(A79,Iedz_sk!$B$5:$Y$123,16,FALSE)</f>
        <v>3221</v>
      </c>
      <c r="D79" s="132">
        <f>VLOOKUP(A79,Iedz_sk!$B$5:$Y$123,17,FALSE)</f>
        <v>3164</v>
      </c>
      <c r="E79" s="133">
        <f>VLOOKUP($A79,IKP!$Q$6:$AC$124,11,FALSE)</f>
        <v>27975.111902274795</v>
      </c>
      <c r="F79" s="133">
        <f>VLOOKUP($A79,IKP!$Q$6:$AC$124,12,FALSE)</f>
        <v>29368.303147252354</v>
      </c>
      <c r="G79" s="133">
        <f>VLOOKUP($A79,IKP!$Q$6:$AC$124,13,FALSE)</f>
        <v>30448.523060697793</v>
      </c>
      <c r="H79" s="132">
        <f>((-0.0000000006)*IKP!$J$5 + 0.0461)*E79</f>
        <v>768.05574598327439</v>
      </c>
      <c r="I79" s="132">
        <f>((-0.0000000006)*IKP!$K$5 + 0.0461)*F79</f>
        <v>778.37954068533202</v>
      </c>
      <c r="J79" s="132">
        <f>((-0.0000000006)*IKP!$L$5 + 0.0461)*G79</f>
        <v>784.33641242574424</v>
      </c>
      <c r="K79" s="132">
        <f t="shared" si="29"/>
        <v>184.33337903598584</v>
      </c>
      <c r="L79" s="132">
        <f t="shared" si="30"/>
        <v>186.8110897644797</v>
      </c>
      <c r="M79" s="132">
        <f t="shared" si="31"/>
        <v>188.24073898217861</v>
      </c>
      <c r="N79" s="137">
        <f>VLOOKUP(A79,NSAmaksa_2021!$A$4:$N$138,12,FALSE)</f>
        <v>104.95</v>
      </c>
      <c r="O79" s="137">
        <f>VLOOKUP(A79,NSAmaksa_2021!$A$4:$N$138,14,FALSE)</f>
        <v>48.976666666666667</v>
      </c>
      <c r="P79" s="132">
        <f t="shared" si="32"/>
        <v>48364.470324566792</v>
      </c>
      <c r="Q79" s="132">
        <f t="shared" si="33"/>
        <v>49014.559676955359</v>
      </c>
      <c r="R79" s="132">
        <f t="shared" si="34"/>
        <v>49389.663890449119</v>
      </c>
      <c r="S79" s="132">
        <f t="shared" si="35"/>
        <v>38046.716655325872</v>
      </c>
      <c r="T79" s="132">
        <f t="shared" si="36"/>
        <v>38558.120279204879</v>
      </c>
      <c r="U79" s="132">
        <f t="shared" si="37"/>
        <v>38853.202260486636</v>
      </c>
      <c r="V79" s="132">
        <f t="shared" si="38"/>
        <v>10317.753669240919</v>
      </c>
      <c r="W79" s="132">
        <f t="shared" si="39"/>
        <v>10456.439397750481</v>
      </c>
      <c r="X79" s="132">
        <f t="shared" si="40"/>
        <v>10536.461629962483</v>
      </c>
      <c r="Y79" s="132">
        <f t="shared" si="41"/>
        <v>31310.654696953883</v>
      </c>
      <c r="Z79" s="138">
        <f t="shared" si="42"/>
        <v>9.7240170839655899</v>
      </c>
    </row>
    <row r="80" spans="1:26" outlineLevel="1" x14ac:dyDescent="0.3">
      <c r="A80" s="98" t="s">
        <v>75</v>
      </c>
      <c r="B80" s="132">
        <f>VLOOKUP(A80,Iedz_sk!$B$5:$Y$123,15,FALSE)</f>
        <v>3113</v>
      </c>
      <c r="C80" s="132">
        <f>VLOOKUP(A80,Iedz_sk!$B$5:$Y$123,16,FALSE)</f>
        <v>3058</v>
      </c>
      <c r="D80" s="132">
        <f>VLOOKUP(A80,Iedz_sk!$B$5:$Y$123,17,FALSE)</f>
        <v>3003</v>
      </c>
      <c r="E80" s="133">
        <f>VLOOKUP($A80,IKP!$Q$6:$AC$124,11,FALSE)</f>
        <v>29826.167991249778</v>
      </c>
      <c r="F80" s="133">
        <f>VLOOKUP($A80,IKP!$Q$6:$AC$124,12,FALSE)</f>
        <v>31352.608001035271</v>
      </c>
      <c r="G80" s="133">
        <f>VLOOKUP($A80,IKP!$Q$6:$AC$124,13,FALSE)</f>
        <v>32549.467237651112</v>
      </c>
      <c r="H80" s="132">
        <f>((-0.0000000006)*IKP!$J$5 + 0.0461)*E80</f>
        <v>818.87642796092018</v>
      </c>
      <c r="I80" s="132">
        <f>((-0.0000000006)*IKP!$K$5 + 0.0461)*F80</f>
        <v>830.97169396442689</v>
      </c>
      <c r="J80" s="132">
        <f>((-0.0000000006)*IKP!$L$5 + 0.0461)*G80</f>
        <v>838.45552405468641</v>
      </c>
      <c r="K80" s="132">
        <f t="shared" si="29"/>
        <v>196.53034271062086</v>
      </c>
      <c r="L80" s="132">
        <f t="shared" si="30"/>
        <v>199.43320655146246</v>
      </c>
      <c r="M80" s="132">
        <f t="shared" si="31"/>
        <v>201.22932577312477</v>
      </c>
      <c r="N80" s="137">
        <f>VLOOKUP(A80,NSAmaksa_2021!$A$4:$N$138,12,FALSE)</f>
        <v>102.1</v>
      </c>
      <c r="O80" s="137">
        <f>VLOOKUP(A80,NSAmaksa_2021!$A$4:$N$138,14,FALSE)</f>
        <v>47.646666666666668</v>
      </c>
      <c r="P80" s="132">
        <f t="shared" si="32"/>
        <v>50164.369976885966</v>
      </c>
      <c r="Q80" s="132">
        <f t="shared" si="33"/>
        <v>50905.325972260784</v>
      </c>
      <c r="R80" s="132">
        <f t="shared" si="34"/>
        <v>51363.785403590082</v>
      </c>
      <c r="S80" s="132">
        <f t="shared" si="35"/>
        <v>39462.637715150297</v>
      </c>
      <c r="T80" s="132">
        <f t="shared" si="36"/>
        <v>40045.523098178484</v>
      </c>
      <c r="U80" s="132">
        <f t="shared" si="37"/>
        <v>40406.177850824199</v>
      </c>
      <c r="V80" s="132">
        <f t="shared" si="38"/>
        <v>10701.732261735669</v>
      </c>
      <c r="W80" s="132">
        <f t="shared" si="39"/>
        <v>10859.802874082299</v>
      </c>
      <c r="X80" s="132">
        <f t="shared" si="40"/>
        <v>10957.607552765883</v>
      </c>
      <c r="Y80" s="132">
        <f t="shared" si="41"/>
        <v>32519.142688583852</v>
      </c>
      <c r="Z80" s="138">
        <f t="shared" si="42"/>
        <v>10.637918551299791</v>
      </c>
    </row>
    <row r="81" spans="1:26" outlineLevel="1" x14ac:dyDescent="0.3">
      <c r="A81" s="98" t="s">
        <v>76</v>
      </c>
      <c r="B81" s="132">
        <f>VLOOKUP(A81,Iedz_sk!$B$5:$Y$123,15,FALSE)</f>
        <v>32790</v>
      </c>
      <c r="C81" s="132">
        <f>VLOOKUP(A81,Iedz_sk!$B$5:$Y$123,16,FALSE)</f>
        <v>32305</v>
      </c>
      <c r="D81" s="132">
        <f>VLOOKUP(A81,Iedz_sk!$B$5:$Y$123,17,FALSE)</f>
        <v>31820</v>
      </c>
      <c r="E81" s="133">
        <f>VLOOKUP($A81,IKP!$Q$6:$AC$124,11,FALSE)</f>
        <v>425388.59939991537</v>
      </c>
      <c r="F81" s="133">
        <f>VLOOKUP($A81,IKP!$Q$6:$AC$124,12,FALSE)</f>
        <v>441833.42678497138</v>
      </c>
      <c r="G81" s="133">
        <f>VLOOKUP($A81,IKP!$Q$6:$AC$124,13,FALSE)</f>
        <v>453139.77889762778</v>
      </c>
      <c r="H81" s="132">
        <f>((-0.0000000006)*IKP!$J$5 + 0.0461)*E81</f>
        <v>11679.029531185355</v>
      </c>
      <c r="I81" s="132">
        <f>((-0.0000000006)*IKP!$K$5 + 0.0461)*F81</f>
        <v>11710.38374522119</v>
      </c>
      <c r="J81" s="132">
        <f>((-0.0000000006)*IKP!$L$5 + 0.0461)*G81</f>
        <v>11672.619647247195</v>
      </c>
      <c r="K81" s="132">
        <f t="shared" si="29"/>
        <v>2802.9670874844855</v>
      </c>
      <c r="L81" s="132">
        <f t="shared" si="30"/>
        <v>2810.4920988530857</v>
      </c>
      <c r="M81" s="132">
        <f t="shared" si="31"/>
        <v>2801.4287153393266</v>
      </c>
      <c r="N81" s="137">
        <f>VLOOKUP(A81,NSAmaksa_2021!$A$4:$N$138,12,FALSE)</f>
        <v>58.1</v>
      </c>
      <c r="O81" s="137">
        <f>VLOOKUP(A81,NSAmaksa_2021!$A$4:$N$138,14,FALSE)</f>
        <v>27.113333333333333</v>
      </c>
      <c r="P81" s="132">
        <f t="shared" si="32"/>
        <v>407130.96945712145</v>
      </c>
      <c r="Q81" s="132">
        <f t="shared" si="33"/>
        <v>408223.97735841066</v>
      </c>
      <c r="R81" s="132">
        <f t="shared" si="34"/>
        <v>406907.52090303722</v>
      </c>
      <c r="S81" s="132">
        <f t="shared" si="35"/>
        <v>320276.36263960227</v>
      </c>
      <c r="T81" s="132">
        <f t="shared" si="36"/>
        <v>321136.19552194973</v>
      </c>
      <c r="U81" s="132">
        <f t="shared" si="37"/>
        <v>320100.58311038924</v>
      </c>
      <c r="V81" s="132">
        <f t="shared" si="38"/>
        <v>86854.606817519176</v>
      </c>
      <c r="W81" s="132">
        <f t="shared" si="39"/>
        <v>87087.781836460927</v>
      </c>
      <c r="X81" s="132">
        <f t="shared" si="40"/>
        <v>86806.937792647979</v>
      </c>
      <c r="Y81" s="132">
        <f t="shared" si="41"/>
        <v>260749.32644662808</v>
      </c>
      <c r="Z81" s="138">
        <f t="shared" si="42"/>
        <v>8.0726748758664986</v>
      </c>
    </row>
    <row r="82" spans="1:26" outlineLevel="1" x14ac:dyDescent="0.3">
      <c r="A82" s="98" t="s">
        <v>77</v>
      </c>
      <c r="B82" s="132">
        <f>VLOOKUP(A82,Iedz_sk!$B$5:$Y$123,15,FALSE)</f>
        <v>19705</v>
      </c>
      <c r="C82" s="132">
        <f>VLOOKUP(A82,Iedz_sk!$B$5:$Y$123,16,FALSE)</f>
        <v>19494</v>
      </c>
      <c r="D82" s="132">
        <f>VLOOKUP(A82,Iedz_sk!$B$5:$Y$123,17,FALSE)</f>
        <v>19283</v>
      </c>
      <c r="E82" s="133">
        <f>VLOOKUP($A82,IKP!$Q$6:$AC$124,11,FALSE)</f>
        <v>255635.32635484391</v>
      </c>
      <c r="F82" s="133">
        <f>VLOOKUP($A82,IKP!$Q$6:$AC$124,12,FALSE)</f>
        <v>266618.1959989547</v>
      </c>
      <c r="G82" s="133">
        <f>VLOOKUP($A82,IKP!$Q$6:$AC$124,13,FALSE)</f>
        <v>274603.84526973468</v>
      </c>
      <c r="H82" s="132">
        <f>((-0.0000000006)*IKP!$J$5 + 0.0461)*E82</f>
        <v>7018.4591921929677</v>
      </c>
      <c r="I82" s="132">
        <f>((-0.0000000006)*IKP!$K$5 + 0.0461)*F82</f>
        <v>7066.4671329311832</v>
      </c>
      <c r="J82" s="132">
        <f>((-0.0000000006)*IKP!$L$5 + 0.0461)*G82</f>
        <v>7073.6368528556777</v>
      </c>
      <c r="K82" s="132">
        <f t="shared" si="29"/>
        <v>1684.4302061263122</v>
      </c>
      <c r="L82" s="132">
        <f t="shared" si="30"/>
        <v>1695.9521119034841</v>
      </c>
      <c r="M82" s="132">
        <f t="shared" si="31"/>
        <v>1697.6728446853629</v>
      </c>
      <c r="N82" s="137">
        <f>VLOOKUP(A82,NSAmaksa_2021!$A$4:$N$138,12,FALSE)</f>
        <v>89.842500000000001</v>
      </c>
      <c r="O82" s="137">
        <f>VLOOKUP(A82,NSAmaksa_2021!$A$4:$N$138,14,FALSE)</f>
        <v>41.926499999999997</v>
      </c>
      <c r="P82" s="132">
        <f t="shared" si="32"/>
        <v>378333.551984758</v>
      </c>
      <c r="Q82" s="132">
        <f t="shared" si="33"/>
        <v>380921.44403422187</v>
      </c>
      <c r="R82" s="132">
        <f t="shared" si="34"/>
        <v>381307.93137161178</v>
      </c>
      <c r="S82" s="132">
        <f t="shared" si="35"/>
        <v>297622.39422800962</v>
      </c>
      <c r="T82" s="132">
        <f t="shared" si="36"/>
        <v>299658.20264025452</v>
      </c>
      <c r="U82" s="132">
        <f t="shared" si="37"/>
        <v>299962.23934566794</v>
      </c>
      <c r="V82" s="132">
        <f t="shared" si="38"/>
        <v>80711.157756748376</v>
      </c>
      <c r="W82" s="132">
        <f t="shared" si="39"/>
        <v>81263.241393967357</v>
      </c>
      <c r="X82" s="132">
        <f t="shared" si="40"/>
        <v>81345.692025943834</v>
      </c>
      <c r="Y82" s="132">
        <f t="shared" si="41"/>
        <v>243320.09117665957</v>
      </c>
      <c r="Z82" s="138">
        <f t="shared" si="42"/>
        <v>12.48312035344296</v>
      </c>
    </row>
    <row r="83" spans="1:26" outlineLevel="1" x14ac:dyDescent="0.3">
      <c r="A83" s="98" t="s">
        <v>78</v>
      </c>
      <c r="B83" s="132">
        <f>VLOOKUP(A83,Iedz_sk!$B$5:$Y$123,15,FALSE)</f>
        <v>9948</v>
      </c>
      <c r="C83" s="132">
        <f>VLOOKUP(A83,Iedz_sk!$B$5:$Y$123,16,FALSE)</f>
        <v>9970</v>
      </c>
      <c r="D83" s="132">
        <f>VLOOKUP(A83,Iedz_sk!$B$5:$Y$123,17,FALSE)</f>
        <v>9993</v>
      </c>
      <c r="E83" s="133">
        <f>VLOOKUP($A83,IKP!$Q$6:$AC$124,11,FALSE)</f>
        <v>84898.2346564459</v>
      </c>
      <c r="F83" s="133">
        <f>VLOOKUP($A83,IKP!$Q$6:$AC$124,12,FALSE)</f>
        <v>90904.061588980432</v>
      </c>
      <c r="G83" s="133">
        <f>VLOOKUP($A83,IKP!$Q$6:$AC$124,13,FALSE)</f>
        <v>96166.906114270867</v>
      </c>
      <c r="H83" s="132">
        <f>((-0.0000000006)*IKP!$J$5 + 0.0461)*E83</f>
        <v>2330.8781455282528</v>
      </c>
      <c r="I83" s="132">
        <f>((-0.0000000006)*IKP!$K$5 + 0.0461)*F83</f>
        <v>2409.3275444373671</v>
      </c>
      <c r="J83" s="132">
        <f>((-0.0000000006)*IKP!$L$5 + 0.0461)*G83</f>
        <v>2477.2040990424971</v>
      </c>
      <c r="K83" s="132">
        <f t="shared" si="29"/>
        <v>559.41075492678067</v>
      </c>
      <c r="L83" s="132">
        <f t="shared" si="30"/>
        <v>578.23861066496806</v>
      </c>
      <c r="M83" s="132">
        <f t="shared" si="31"/>
        <v>594.52898377019926</v>
      </c>
      <c r="N83" s="137">
        <f>VLOOKUP(A83,NSAmaksa_2021!$A$4:$N$138,12,FALSE)</f>
        <v>100.5</v>
      </c>
      <c r="O83" s="137">
        <f>VLOOKUP(A83,NSAmaksa_2021!$A$4:$N$138,14,FALSE)</f>
        <v>46.900000000000006</v>
      </c>
      <c r="P83" s="132">
        <f t="shared" si="32"/>
        <v>140551.95217535362</v>
      </c>
      <c r="Q83" s="132">
        <f t="shared" si="33"/>
        <v>145282.45092957324</v>
      </c>
      <c r="R83" s="132">
        <f t="shared" si="34"/>
        <v>149375.40717226258</v>
      </c>
      <c r="S83" s="132">
        <f t="shared" si="35"/>
        <v>110567.53571127819</v>
      </c>
      <c r="T83" s="132">
        <f t="shared" si="36"/>
        <v>114288.86139793094</v>
      </c>
      <c r="U83" s="132">
        <f t="shared" si="37"/>
        <v>117508.65364217988</v>
      </c>
      <c r="V83" s="132">
        <f t="shared" si="38"/>
        <v>29984.416464075432</v>
      </c>
      <c r="W83" s="132">
        <f t="shared" si="39"/>
        <v>30993.589531642298</v>
      </c>
      <c r="X83" s="132">
        <f t="shared" si="40"/>
        <v>31866.7535300827</v>
      </c>
      <c r="Y83" s="132">
        <f t="shared" si="41"/>
        <v>92844.759525800429</v>
      </c>
      <c r="Z83" s="138">
        <f t="shared" si="42"/>
        <v>9.3117076411485602</v>
      </c>
    </row>
    <row r="84" spans="1:26" outlineLevel="1" x14ac:dyDescent="0.3">
      <c r="A84" s="98" t="s">
        <v>79</v>
      </c>
      <c r="B84" s="132">
        <f>VLOOKUP(A84,Iedz_sk!$B$5:$Y$123,15,FALSE)</f>
        <v>3603</v>
      </c>
      <c r="C84" s="132">
        <f>VLOOKUP(A84,Iedz_sk!$B$5:$Y$123,16,FALSE)</f>
        <v>3540</v>
      </c>
      <c r="D84" s="132">
        <f>VLOOKUP(A84,Iedz_sk!$B$5:$Y$123,17,FALSE)</f>
        <v>3477</v>
      </c>
      <c r="E84" s="133">
        <f>VLOOKUP($A84,IKP!$Q$6:$AC$124,11,FALSE)</f>
        <v>34024.166332283254</v>
      </c>
      <c r="F84" s="133">
        <f>VLOOKUP($A84,IKP!$Q$6:$AC$124,12,FALSE)</f>
        <v>35967.240994214044</v>
      </c>
      <c r="G84" s="133">
        <f>VLOOKUP($A84,IKP!$Q$6:$AC$124,13,FALSE)</f>
        <v>37559.72523270909</v>
      </c>
      <c r="H84" s="132">
        <f>((-0.0000000006)*IKP!$J$5 + 0.0461)*E84</f>
        <v>934.13232966106068</v>
      </c>
      <c r="I84" s="132">
        <f>((-0.0000000006)*IKP!$K$5 + 0.0461)*F84</f>
        <v>953.27824642855614</v>
      </c>
      <c r="J84" s="132">
        <f>((-0.0000000006)*IKP!$L$5 + 0.0461)*G84</f>
        <v>967.51688356094019</v>
      </c>
      <c r="K84" s="132">
        <f t="shared" si="29"/>
        <v>224.19175911865457</v>
      </c>
      <c r="L84" s="132">
        <f t="shared" si="30"/>
        <v>228.78677914285348</v>
      </c>
      <c r="M84" s="132">
        <f t="shared" si="31"/>
        <v>232.20405205462563</v>
      </c>
      <c r="N84" s="137">
        <f>VLOOKUP(A84,NSAmaksa_2021!$A$4:$N$138,12,FALSE)</f>
        <v>119.12449999999998</v>
      </c>
      <c r="O84" s="137">
        <f>VLOOKUP(A84,NSAmaksa_2021!$A$4:$N$138,14,FALSE)</f>
        <v>55.591433333333335</v>
      </c>
      <c r="P84" s="132">
        <f t="shared" si="32"/>
        <v>66766.828022825401</v>
      </c>
      <c r="Q84" s="132">
        <f t="shared" si="33"/>
        <v>68135.276680007111</v>
      </c>
      <c r="R84" s="132">
        <f t="shared" si="34"/>
        <v>69152.978997453116</v>
      </c>
      <c r="S84" s="132">
        <f t="shared" si="35"/>
        <v>52523.238044622645</v>
      </c>
      <c r="T84" s="132">
        <f t="shared" si="36"/>
        <v>53599.750988272259</v>
      </c>
      <c r="U84" s="132">
        <f t="shared" si="37"/>
        <v>54400.343477996452</v>
      </c>
      <c r="V84" s="132">
        <f t="shared" si="38"/>
        <v>14243.589978202755</v>
      </c>
      <c r="W84" s="132">
        <f t="shared" si="39"/>
        <v>14535.525691734852</v>
      </c>
      <c r="X84" s="132">
        <f t="shared" si="40"/>
        <v>14752.635519456664</v>
      </c>
      <c r="Y84" s="132">
        <f t="shared" si="41"/>
        <v>43531.751189394272</v>
      </c>
      <c r="Z84" s="138">
        <f t="shared" si="42"/>
        <v>12.302259864234587</v>
      </c>
    </row>
    <row r="85" spans="1:26" outlineLevel="1" x14ac:dyDescent="0.3">
      <c r="A85" s="98" t="s">
        <v>80</v>
      </c>
      <c r="B85" s="132">
        <f>VLOOKUP(A85,Iedz_sk!$B$5:$Y$123,15,FALSE)</f>
        <v>2543</v>
      </c>
      <c r="C85" s="132">
        <f>VLOOKUP(A85,Iedz_sk!$B$5:$Y$123,16,FALSE)</f>
        <v>2498</v>
      </c>
      <c r="D85" s="132">
        <f>VLOOKUP(A85,Iedz_sk!$B$5:$Y$123,17,FALSE)</f>
        <v>2453</v>
      </c>
      <c r="E85" s="133">
        <f>VLOOKUP($A85,IKP!$Q$6:$AC$124,11,FALSE)</f>
        <v>24364.903694747249</v>
      </c>
      <c r="F85" s="133">
        <f>VLOOKUP($A85,IKP!$Q$6:$AC$124,12,FALSE)</f>
        <v>25611.123213402912</v>
      </c>
      <c r="G85" s="133">
        <f>VLOOKUP($A85,IKP!$Q$6:$AC$124,13,FALSE)</f>
        <v>26588.026351634424</v>
      </c>
      <c r="H85" s="132">
        <f>((-0.0000000006)*IKP!$J$5 + 0.0461)*E85</f>
        <v>668.93760241073562</v>
      </c>
      <c r="I85" s="132">
        <f>((-0.0000000006)*IKP!$K$5 + 0.0461)*F85</f>
        <v>678.79898349350503</v>
      </c>
      <c r="J85" s="132">
        <f>((-0.0000000006)*IKP!$L$5 + 0.0461)*G85</f>
        <v>684.89224126078773</v>
      </c>
      <c r="K85" s="132">
        <f t="shared" si="29"/>
        <v>160.54502457857654</v>
      </c>
      <c r="L85" s="132">
        <f t="shared" si="30"/>
        <v>162.91175603844121</v>
      </c>
      <c r="M85" s="132">
        <f t="shared" si="31"/>
        <v>164.37413790258907</v>
      </c>
      <c r="N85" s="137">
        <f>VLOOKUP(A85,NSAmaksa_2021!$A$4:$N$138,12,FALSE)</f>
        <v>92.95</v>
      </c>
      <c r="O85" s="137">
        <f>VLOOKUP(A85,NSAmaksa_2021!$A$4:$N$138,14,FALSE)</f>
        <v>43.376666666666665</v>
      </c>
      <c r="P85" s="132">
        <f t="shared" si="32"/>
        <v>37306.650086446723</v>
      </c>
      <c r="Q85" s="132">
        <f t="shared" si="33"/>
        <v>37856.619309432775</v>
      </c>
      <c r="R85" s="132">
        <f t="shared" si="34"/>
        <v>38196.440295114131</v>
      </c>
      <c r="S85" s="132">
        <f t="shared" si="35"/>
        <v>29347.898068004761</v>
      </c>
      <c r="T85" s="132">
        <f t="shared" si="36"/>
        <v>29780.540523420448</v>
      </c>
      <c r="U85" s="132">
        <f t="shared" si="37"/>
        <v>30047.866365489783</v>
      </c>
      <c r="V85" s="132">
        <f t="shared" si="38"/>
        <v>7958.7520184419627</v>
      </c>
      <c r="W85" s="132">
        <f t="shared" si="39"/>
        <v>8076.0787860123273</v>
      </c>
      <c r="X85" s="132">
        <f t="shared" si="40"/>
        <v>8148.5739296243482</v>
      </c>
      <c r="Y85" s="132">
        <f t="shared" si="41"/>
        <v>24183.404734078638</v>
      </c>
      <c r="Z85" s="138">
        <f t="shared" si="42"/>
        <v>9.6845693373488331</v>
      </c>
    </row>
    <row r="86" spans="1:26" outlineLevel="1" x14ac:dyDescent="0.3">
      <c r="A86" s="98" t="s">
        <v>81</v>
      </c>
      <c r="B86" s="132">
        <f>VLOOKUP(A86,Iedz_sk!$B$5:$Y$123,15,FALSE)</f>
        <v>4765</v>
      </c>
      <c r="C86" s="132">
        <f>VLOOKUP(A86,Iedz_sk!$B$5:$Y$123,16,FALSE)</f>
        <v>4677</v>
      </c>
      <c r="D86" s="132">
        <f>VLOOKUP(A86,Iedz_sk!$B$5:$Y$123,17,FALSE)</f>
        <v>4589</v>
      </c>
      <c r="E86" s="133">
        <f>VLOOKUP($A86,IKP!$Q$6:$AC$124,11,FALSE)</f>
        <v>40665.469253916839</v>
      </c>
      <c r="F86" s="133">
        <f>VLOOKUP($A86,IKP!$Q$6:$AC$124,12,FALSE)</f>
        <v>42643.760887829638</v>
      </c>
      <c r="G86" s="133">
        <f>VLOOKUP($A86,IKP!$Q$6:$AC$124,13,FALSE)</f>
        <v>44161.906550424203</v>
      </c>
      <c r="H86" s="132">
        <f>((-0.0000000006)*IKP!$J$5 + 0.0461)*E86</f>
        <v>1116.469075537005</v>
      </c>
      <c r="I86" s="132">
        <f>((-0.0000000006)*IKP!$K$5 + 0.0461)*F86</f>
        <v>1130.2331921096857</v>
      </c>
      <c r="J86" s="132">
        <f>((-0.0000000006)*IKP!$L$5 + 0.0461)*G86</f>
        <v>1137.5852707401202</v>
      </c>
      <c r="K86" s="132">
        <f t="shared" si="29"/>
        <v>267.95257812888121</v>
      </c>
      <c r="L86" s="132">
        <f t="shared" si="30"/>
        <v>271.25596610632454</v>
      </c>
      <c r="M86" s="132">
        <f t="shared" si="31"/>
        <v>273.02046497762882</v>
      </c>
      <c r="N86" s="137">
        <f>VLOOKUP(A86,NSAmaksa_2021!$A$4:$N$138,12,FALSE)</f>
        <v>105.55</v>
      </c>
      <c r="O86" s="137">
        <f>VLOOKUP(A86,NSAmaksa_2021!$A$4:$N$138,14,FALSE)</f>
        <v>49.256666666666668</v>
      </c>
      <c r="P86" s="132">
        <f t="shared" si="32"/>
        <v>70705.986553758514</v>
      </c>
      <c r="Q86" s="132">
        <f t="shared" si="33"/>
        <v>71577.668056306386</v>
      </c>
      <c r="R86" s="132">
        <f t="shared" si="34"/>
        <v>72043.275195971815</v>
      </c>
      <c r="S86" s="132">
        <f t="shared" si="35"/>
        <v>55622.04275562337</v>
      </c>
      <c r="T86" s="132">
        <f t="shared" si="36"/>
        <v>56307.765537627689</v>
      </c>
      <c r="U86" s="132">
        <f t="shared" si="37"/>
        <v>56674.043154164494</v>
      </c>
      <c r="V86" s="132">
        <f t="shared" si="38"/>
        <v>15083.943798135144</v>
      </c>
      <c r="W86" s="132">
        <f t="shared" si="39"/>
        <v>15269.902518678697</v>
      </c>
      <c r="X86" s="132">
        <f t="shared" si="40"/>
        <v>15369.232041807321</v>
      </c>
      <c r="Y86" s="132">
        <f t="shared" si="41"/>
        <v>45723.078358621162</v>
      </c>
      <c r="Z86" s="138">
        <f t="shared" si="42"/>
        <v>9.77960936839035</v>
      </c>
    </row>
    <row r="87" spans="1:26" outlineLevel="1" x14ac:dyDescent="0.3">
      <c r="A87" s="98" t="s">
        <v>82</v>
      </c>
      <c r="B87" s="132">
        <f>VLOOKUP(A87,Iedz_sk!$B$5:$Y$123,15,FALSE)</f>
        <v>8948</v>
      </c>
      <c r="C87" s="132">
        <f>VLOOKUP(A87,Iedz_sk!$B$5:$Y$123,16,FALSE)</f>
        <v>8762</v>
      </c>
      <c r="D87" s="132">
        <f>VLOOKUP(A87,Iedz_sk!$B$5:$Y$123,17,FALSE)</f>
        <v>8577</v>
      </c>
      <c r="E87" s="133">
        <f>VLOOKUP($A87,IKP!$Q$6:$AC$124,11,FALSE)</f>
        <v>58841.164107588316</v>
      </c>
      <c r="F87" s="133">
        <f>VLOOKUP($A87,IKP!$Q$6:$AC$124,12,FALSE)</f>
        <v>61978.675621562441</v>
      </c>
      <c r="G87" s="133">
        <f>VLOOKUP($A87,IKP!$Q$6:$AC$124,13,FALSE)</f>
        <v>64490.008032500285</v>
      </c>
      <c r="H87" s="132">
        <f>((-0.0000000006)*IKP!$J$5 + 0.0461)*E87</f>
        <v>1615.4821596800521</v>
      </c>
      <c r="I87" s="132">
        <f>((-0.0000000006)*IKP!$K$5 + 0.0461)*F87</f>
        <v>1642.6871113631391</v>
      </c>
      <c r="J87" s="132">
        <f>((-0.0000000006)*IKP!$L$5 + 0.0461)*G87</f>
        <v>1661.2254537497922</v>
      </c>
      <c r="K87" s="132">
        <f t="shared" si="29"/>
        <v>387.71571832321251</v>
      </c>
      <c r="L87" s="132">
        <f t="shared" si="30"/>
        <v>394.24490672715342</v>
      </c>
      <c r="M87" s="132">
        <f t="shared" si="31"/>
        <v>398.69410889995015</v>
      </c>
      <c r="N87" s="137">
        <f>VLOOKUP(A87,NSAmaksa_2021!$A$4:$N$138,12,FALSE)</f>
        <v>95.45</v>
      </c>
      <c r="O87" s="137">
        <f>VLOOKUP(A87,NSAmaksa_2021!$A$4:$N$138,14,FALSE)</f>
        <v>44.543333333333329</v>
      </c>
      <c r="P87" s="132">
        <f t="shared" si="32"/>
        <v>92518.663284876573</v>
      </c>
      <c r="Q87" s="132">
        <f t="shared" si="33"/>
        <v>94076.690867766971</v>
      </c>
      <c r="R87" s="132">
        <f t="shared" si="34"/>
        <v>95138.381736250594</v>
      </c>
      <c r="S87" s="132">
        <f t="shared" si="35"/>
        <v>72781.348450769568</v>
      </c>
      <c r="T87" s="132">
        <f t="shared" si="36"/>
        <v>74006.996815976687</v>
      </c>
      <c r="U87" s="132">
        <f t="shared" si="37"/>
        <v>74842.193632517126</v>
      </c>
      <c r="V87" s="132">
        <f t="shared" si="38"/>
        <v>19737.314834107005</v>
      </c>
      <c r="W87" s="132">
        <f t="shared" si="39"/>
        <v>20069.694051790284</v>
      </c>
      <c r="X87" s="132">
        <f t="shared" si="40"/>
        <v>20296.188103733468</v>
      </c>
      <c r="Y87" s="132">
        <f t="shared" si="41"/>
        <v>60103.196989630756</v>
      </c>
      <c r="Z87" s="138">
        <f t="shared" si="42"/>
        <v>6.8626679804799782</v>
      </c>
    </row>
    <row r="88" spans="1:26" outlineLevel="1" x14ac:dyDescent="0.3">
      <c r="A88" s="98" t="s">
        <v>83</v>
      </c>
      <c r="B88" s="132">
        <f>VLOOKUP(A88,Iedz_sk!$B$5:$Y$123,15,FALSE)</f>
        <v>4955</v>
      </c>
      <c r="C88" s="132">
        <f>VLOOKUP(A88,Iedz_sk!$B$5:$Y$123,16,FALSE)</f>
        <v>4868</v>
      </c>
      <c r="D88" s="132">
        <f>VLOOKUP(A88,Iedz_sk!$B$5:$Y$123,17,FALSE)</f>
        <v>4781</v>
      </c>
      <c r="E88" s="133">
        <f>VLOOKUP($A88,IKP!$Q$6:$AC$124,11,FALSE)</f>
        <v>47474.674717842165</v>
      </c>
      <c r="F88" s="133">
        <f>VLOOKUP($A88,IKP!$Q$6:$AC$124,12,FALSE)</f>
        <v>49909.907046775574</v>
      </c>
      <c r="G88" s="133">
        <f>VLOOKUP($A88,IKP!$Q$6:$AC$124,13,FALSE)</f>
        <v>51821.17977462869</v>
      </c>
      <c r="H88" s="132">
        <f>((-0.0000000006)*IKP!$J$5 + 0.0461)*E88</f>
        <v>1303.415580002043</v>
      </c>
      <c r="I88" s="132">
        <f>((-0.0000000006)*IKP!$K$5 + 0.0461)*F88</f>
        <v>1322.815633165085</v>
      </c>
      <c r="J88" s="132">
        <f>((-0.0000000006)*IKP!$L$5 + 0.0461)*G88</f>
        <v>1334.883736432053</v>
      </c>
      <c r="K88" s="132">
        <f t="shared" si="29"/>
        <v>312.81973920049035</v>
      </c>
      <c r="L88" s="132">
        <f t="shared" si="30"/>
        <v>317.47575195962042</v>
      </c>
      <c r="M88" s="132">
        <f t="shared" si="31"/>
        <v>320.37209674369274</v>
      </c>
      <c r="N88" s="137">
        <f>VLOOKUP(A88,NSAmaksa_2021!$A$4:$N$138,12,FALSE)</f>
        <v>85.25</v>
      </c>
      <c r="O88" s="137">
        <f>VLOOKUP(A88,NSAmaksa_2021!$A$4:$N$138,14,FALSE)</f>
        <v>39.783333333333331</v>
      </c>
      <c r="P88" s="132">
        <f t="shared" si="32"/>
        <v>66669.7069171045</v>
      </c>
      <c r="Q88" s="132">
        <f t="shared" si="33"/>
        <v>67662.019636394092</v>
      </c>
      <c r="R88" s="132">
        <f t="shared" si="34"/>
        <v>68279.303118499505</v>
      </c>
      <c r="S88" s="132">
        <f t="shared" si="35"/>
        <v>52446.83610812221</v>
      </c>
      <c r="T88" s="132">
        <f t="shared" si="36"/>
        <v>53227.455447296685</v>
      </c>
      <c r="U88" s="132">
        <f t="shared" si="37"/>
        <v>53713.05178655294</v>
      </c>
      <c r="V88" s="132">
        <f t="shared" si="38"/>
        <v>14222.87080898229</v>
      </c>
      <c r="W88" s="132">
        <f t="shared" si="39"/>
        <v>14434.564189097408</v>
      </c>
      <c r="X88" s="132">
        <f t="shared" si="40"/>
        <v>14566.251331946565</v>
      </c>
      <c r="Y88" s="132">
        <f t="shared" si="41"/>
        <v>43223.686330026263</v>
      </c>
      <c r="Z88" s="138">
        <f t="shared" si="42"/>
        <v>8.8822973212370968</v>
      </c>
    </row>
    <row r="89" spans="1:26" outlineLevel="1" x14ac:dyDescent="0.3">
      <c r="A89" s="98" t="s">
        <v>84</v>
      </c>
      <c r="B89" s="132">
        <f>VLOOKUP(A89,Iedz_sk!$B$5:$Y$123,15,FALSE)</f>
        <v>7509</v>
      </c>
      <c r="C89" s="132">
        <f>VLOOKUP(A89,Iedz_sk!$B$5:$Y$123,16,FALSE)</f>
        <v>7377</v>
      </c>
      <c r="D89" s="132">
        <f>VLOOKUP(A89,Iedz_sk!$B$5:$Y$123,17,FALSE)</f>
        <v>7245</v>
      </c>
      <c r="E89" s="133">
        <f>VLOOKUP($A89,IKP!$Q$6:$AC$124,11,FALSE)</f>
        <v>70909.648900670261</v>
      </c>
      <c r="F89" s="133">
        <f>VLOOKUP($A89,IKP!$Q$6:$AC$124,12,FALSE)</f>
        <v>74952.072546417228</v>
      </c>
      <c r="G89" s="133">
        <f>VLOOKUP($A89,IKP!$Q$6:$AC$124,13,FALSE)</f>
        <v>78262.930489208331</v>
      </c>
      <c r="H89" s="132">
        <f>((-0.0000000006)*IKP!$J$5 + 0.0461)*E89</f>
        <v>1946.8219992852914</v>
      </c>
      <c r="I89" s="132">
        <f>((-0.0000000006)*IKP!$K$5 + 0.0461)*F89</f>
        <v>1986.5349220066266</v>
      </c>
      <c r="J89" s="132">
        <f>((-0.0000000006)*IKP!$L$5 + 0.0461)*G89</f>
        <v>2016.0080015527788</v>
      </c>
      <c r="K89" s="132">
        <f t="shared" si="29"/>
        <v>467.23727982846992</v>
      </c>
      <c r="L89" s="132">
        <f t="shared" si="30"/>
        <v>476.76838128159039</v>
      </c>
      <c r="M89" s="132">
        <f t="shared" si="31"/>
        <v>483.84192037266689</v>
      </c>
      <c r="N89" s="137">
        <f>VLOOKUP(A89,NSAmaksa_2021!$A$4:$N$138,12,FALSE)</f>
        <v>119.12449999999998</v>
      </c>
      <c r="O89" s="137">
        <f>VLOOKUP(A89,NSAmaksa_2021!$A$4:$N$138,14,FALSE)</f>
        <v>55.591433333333335</v>
      </c>
      <c r="P89" s="132">
        <f t="shared" si="32"/>
        <v>139148.5183523164</v>
      </c>
      <c r="Q89" s="132">
        <f t="shared" si="33"/>
        <v>141986.98758994701</v>
      </c>
      <c r="R89" s="132">
        <f t="shared" si="34"/>
        <v>144093.56710858436</v>
      </c>
      <c r="S89" s="132">
        <f t="shared" si="35"/>
        <v>109463.50110382224</v>
      </c>
      <c r="T89" s="132">
        <f t="shared" si="36"/>
        <v>111696.43023742498</v>
      </c>
      <c r="U89" s="132">
        <f t="shared" si="37"/>
        <v>113353.6061254197</v>
      </c>
      <c r="V89" s="132">
        <f t="shared" si="38"/>
        <v>29685.017248494158</v>
      </c>
      <c r="W89" s="132">
        <f t="shared" si="39"/>
        <v>30290.557352522024</v>
      </c>
      <c r="X89" s="132">
        <f t="shared" si="40"/>
        <v>30739.960983164667</v>
      </c>
      <c r="Y89" s="132">
        <f t="shared" si="41"/>
        <v>90715.535584180849</v>
      </c>
      <c r="Z89" s="138">
        <f t="shared" si="42"/>
        <v>12.302259864234586</v>
      </c>
    </row>
    <row r="90" spans="1:26" outlineLevel="1" x14ac:dyDescent="0.3">
      <c r="A90" s="98" t="s">
        <v>85</v>
      </c>
      <c r="B90" s="132">
        <f>VLOOKUP(A90,Iedz_sk!$B$5:$Y$123,15,FALSE)</f>
        <v>3005</v>
      </c>
      <c r="C90" s="132">
        <f>VLOOKUP(A90,Iedz_sk!$B$5:$Y$123,16,FALSE)</f>
        <v>2919</v>
      </c>
      <c r="D90" s="132">
        <f>VLOOKUP(A90,Iedz_sk!$B$5:$Y$123,17,FALSE)</f>
        <v>2832</v>
      </c>
      <c r="E90" s="133">
        <f>VLOOKUP($A90,IKP!$Q$6:$AC$124,11,FALSE)</f>
        <v>28377.080163339208</v>
      </c>
      <c r="F90" s="133">
        <f>VLOOKUP($A90,IKP!$Q$6:$AC$124,12,FALSE)</f>
        <v>29657.733463873104</v>
      </c>
      <c r="G90" s="133">
        <f>VLOOKUP($A90,IKP!$Q$6:$AC$124,13,FALSE)</f>
        <v>30592.217963483505</v>
      </c>
      <c r="H90" s="132">
        <f>((-0.0000000006)*IKP!$J$5 + 0.0461)*E90</f>
        <v>779.09177092186712</v>
      </c>
      <c r="I90" s="132">
        <f>((-0.0000000006)*IKP!$K$5 + 0.0461)*F90</f>
        <v>786.05062184320764</v>
      </c>
      <c r="J90" s="132">
        <f>((-0.0000000006)*IKP!$L$5 + 0.0461)*G90</f>
        <v>788.03791033781499</v>
      </c>
      <c r="K90" s="132">
        <f t="shared" si="29"/>
        <v>186.98202502124812</v>
      </c>
      <c r="L90" s="132">
        <f t="shared" si="30"/>
        <v>188.65214924236986</v>
      </c>
      <c r="M90" s="132">
        <f t="shared" si="31"/>
        <v>189.1290984810756</v>
      </c>
      <c r="N90" s="137">
        <f>VLOOKUP(A90,NSAmaksa_2021!$A$4:$N$138,12,FALSE)</f>
        <v>123.84350000000001</v>
      </c>
      <c r="O90" s="137">
        <f>VLOOKUP(A90,NSAmaksa_2021!$A$4:$N$138,14,FALSE)</f>
        <v>57.793633333333325</v>
      </c>
      <c r="P90" s="132">
        <f t="shared" si="32"/>
        <v>57891.271039297346</v>
      </c>
      <c r="Q90" s="132">
        <f t="shared" si="33"/>
        <v>58408.356111743567</v>
      </c>
      <c r="R90" s="132">
        <f t="shared" si="34"/>
        <v>58556.023769352716</v>
      </c>
      <c r="S90" s="132">
        <f t="shared" si="35"/>
        <v>45541.133217580587</v>
      </c>
      <c r="T90" s="132">
        <f t="shared" si="36"/>
        <v>45947.906807904947</v>
      </c>
      <c r="U90" s="132">
        <f t="shared" si="37"/>
        <v>46064.072031890799</v>
      </c>
      <c r="V90" s="132">
        <f t="shared" si="38"/>
        <v>12350.137821716758</v>
      </c>
      <c r="W90" s="132">
        <f t="shared" si="39"/>
        <v>12460.449303838621</v>
      </c>
      <c r="X90" s="132">
        <f t="shared" si="40"/>
        <v>12491.951737461917</v>
      </c>
      <c r="Y90" s="132">
        <f t="shared" si="41"/>
        <v>37302.538863017297</v>
      </c>
      <c r="Z90" s="138">
        <f t="shared" si="42"/>
        <v>12.789601798927473</v>
      </c>
    </row>
    <row r="91" spans="1:26" outlineLevel="1" x14ac:dyDescent="0.3">
      <c r="A91" s="98" t="s">
        <v>86</v>
      </c>
      <c r="B91" s="132">
        <f>VLOOKUP(A91,Iedz_sk!$B$5:$Y$123,15,FALSE)</f>
        <v>24244</v>
      </c>
      <c r="C91" s="132">
        <f>VLOOKUP(A91,Iedz_sk!$B$5:$Y$123,16,FALSE)</f>
        <v>23823</v>
      </c>
      <c r="D91" s="132">
        <f>VLOOKUP(A91,Iedz_sk!$B$5:$Y$123,17,FALSE)</f>
        <v>23402</v>
      </c>
      <c r="E91" s="133">
        <f>VLOOKUP($A91,IKP!$Q$6:$AC$124,11,FALSE)</f>
        <v>159426.14915337184</v>
      </c>
      <c r="F91" s="133">
        <f>VLOOKUP($A91,IKP!$Q$6:$AC$124,12,FALSE)</f>
        <v>168513.80841502876</v>
      </c>
      <c r="G91" s="133">
        <f>VLOOKUP($A91,IKP!$Q$6:$AC$124,13,FALSE)</f>
        <v>175958.39663945106</v>
      </c>
      <c r="H91" s="132">
        <f>((-0.0000000006)*IKP!$J$5 + 0.0461)*E91</f>
        <v>4377.0395037196222</v>
      </c>
      <c r="I91" s="132">
        <f>((-0.0000000006)*IKP!$K$5 + 0.0461)*F91</f>
        <v>4466.301649623837</v>
      </c>
      <c r="J91" s="132">
        <f>((-0.0000000006)*IKP!$L$5 + 0.0461)*G91</f>
        <v>4532.5869265072442</v>
      </c>
      <c r="K91" s="132">
        <f t="shared" si="29"/>
        <v>1050.4894808927095</v>
      </c>
      <c r="L91" s="132">
        <f t="shared" si="30"/>
        <v>1071.912395909721</v>
      </c>
      <c r="M91" s="132">
        <f t="shared" si="31"/>
        <v>1087.8208623617386</v>
      </c>
      <c r="N91" s="137">
        <f>VLOOKUP(A91,NSAmaksa_2021!$A$4:$N$138,12,FALSE)</f>
        <v>78.650000000000006</v>
      </c>
      <c r="O91" s="137">
        <f>VLOOKUP(A91,NSAmaksa_2021!$A$4:$N$138,14,FALSE)</f>
        <v>36.703333333333333</v>
      </c>
      <c r="P91" s="132">
        <f t="shared" si="32"/>
        <v>206552.49418052897</v>
      </c>
      <c r="Q91" s="132">
        <f t="shared" si="33"/>
        <v>210764.77484574888</v>
      </c>
      <c r="R91" s="132">
        <f t="shared" si="34"/>
        <v>213892.77706187687</v>
      </c>
      <c r="S91" s="132">
        <f t="shared" si="35"/>
        <v>162487.96208868281</v>
      </c>
      <c r="T91" s="132">
        <f t="shared" si="36"/>
        <v>165801.62287865579</v>
      </c>
      <c r="U91" s="132">
        <f t="shared" si="37"/>
        <v>168262.31795534311</v>
      </c>
      <c r="V91" s="132">
        <f t="shared" si="38"/>
        <v>44064.532091846166</v>
      </c>
      <c r="W91" s="132">
        <f t="shared" si="39"/>
        <v>44963.151967093087</v>
      </c>
      <c r="X91" s="132">
        <f t="shared" si="40"/>
        <v>45630.459106533759</v>
      </c>
      <c r="Y91" s="132">
        <f t="shared" si="41"/>
        <v>134658.14316547301</v>
      </c>
      <c r="Z91" s="138">
        <f t="shared" si="42"/>
        <v>5.6547808974829774</v>
      </c>
    </row>
    <row r="92" spans="1:26" outlineLevel="1" x14ac:dyDescent="0.3">
      <c r="A92" s="98" t="s">
        <v>87</v>
      </c>
      <c r="B92" s="132">
        <f>VLOOKUP(A92,Iedz_sk!$B$5:$Y$123,15,FALSE)</f>
        <v>4466</v>
      </c>
      <c r="C92" s="132">
        <f>VLOOKUP(A92,Iedz_sk!$B$5:$Y$123,16,FALSE)</f>
        <v>4370</v>
      </c>
      <c r="D92" s="132">
        <f>VLOOKUP(A92,Iedz_sk!$B$5:$Y$123,17,FALSE)</f>
        <v>4275</v>
      </c>
      <c r="E92" s="133">
        <f>VLOOKUP($A92,IKP!$Q$6:$AC$124,11,FALSE)</f>
        <v>29367.974844042183</v>
      </c>
      <c r="F92" s="133">
        <f>VLOOKUP($A92,IKP!$Q$6:$AC$124,12,FALSE)</f>
        <v>30911.528471379581</v>
      </c>
      <c r="G92" s="133">
        <f>VLOOKUP($A92,IKP!$Q$6:$AC$124,13,FALSE)</f>
        <v>32143.498232358485</v>
      </c>
      <c r="H92" s="132">
        <f>((-0.0000000006)*IKP!$J$5 + 0.0461)*E92</f>
        <v>806.29675068519362</v>
      </c>
      <c r="I92" s="132">
        <f>((-0.0000000006)*IKP!$K$5 + 0.0461)*F92</f>
        <v>819.28129156093564</v>
      </c>
      <c r="J92" s="132">
        <f>((-0.0000000006)*IKP!$L$5 + 0.0461)*G92</f>
        <v>827.99799636007481</v>
      </c>
      <c r="K92" s="132">
        <f t="shared" si="29"/>
        <v>193.51122016444646</v>
      </c>
      <c r="L92" s="132">
        <f t="shared" si="30"/>
        <v>196.62750997462459</v>
      </c>
      <c r="M92" s="132">
        <f t="shared" si="31"/>
        <v>198.71951912641796</v>
      </c>
      <c r="N92" s="137">
        <f>VLOOKUP(A92,NSAmaksa_2021!$A$4:$N$138,12,FALSE)</f>
        <v>131.58750000000001</v>
      </c>
      <c r="O92" s="137">
        <f>VLOOKUP(A92,NSAmaksa_2021!$A$4:$N$138,14,FALSE)</f>
        <v>61.407499999999992</v>
      </c>
      <c r="P92" s="132">
        <f t="shared" si="32"/>
        <v>63659.144208472753</v>
      </c>
      <c r="Q92" s="132">
        <f t="shared" si="33"/>
        <v>64684.306171964767</v>
      </c>
      <c r="R92" s="132">
        <f t="shared" si="34"/>
        <v>65372.511807618801</v>
      </c>
      <c r="S92" s="132">
        <f t="shared" si="35"/>
        <v>50078.526777331892</v>
      </c>
      <c r="T92" s="132">
        <f t="shared" si="36"/>
        <v>50884.987521945615</v>
      </c>
      <c r="U92" s="132">
        <f t="shared" si="37"/>
        <v>51426.375955326796</v>
      </c>
      <c r="V92" s="132">
        <f t="shared" si="38"/>
        <v>13580.617431140861</v>
      </c>
      <c r="W92" s="132">
        <f t="shared" si="39"/>
        <v>13799.318650019151</v>
      </c>
      <c r="X92" s="132">
        <f t="shared" si="40"/>
        <v>13946.135852292005</v>
      </c>
      <c r="Y92" s="132">
        <f t="shared" si="41"/>
        <v>41326.071933452018</v>
      </c>
      <c r="Z92" s="138">
        <f t="shared" si="42"/>
        <v>9.4608834246349822</v>
      </c>
    </row>
    <row r="93" spans="1:26" outlineLevel="1" x14ac:dyDescent="0.3">
      <c r="A93" s="98" t="s">
        <v>88</v>
      </c>
      <c r="B93" s="132">
        <f>VLOOKUP(A93,Iedz_sk!$B$5:$Y$123,15,FALSE)</f>
        <v>3390</v>
      </c>
      <c r="C93" s="132">
        <f>VLOOKUP(A93,Iedz_sk!$B$5:$Y$123,16,FALSE)</f>
        <v>3328</v>
      </c>
      <c r="D93" s="132">
        <f>VLOOKUP(A93,Iedz_sk!$B$5:$Y$123,17,FALSE)</f>
        <v>3266</v>
      </c>
      <c r="E93" s="133">
        <f>VLOOKUP($A93,IKP!$Q$6:$AC$124,11,FALSE)</f>
        <v>32480.150816041358</v>
      </c>
      <c r="F93" s="133">
        <f>VLOOKUP($A93,IKP!$Q$6:$AC$124,12,FALSE)</f>
        <v>34120.823880786586</v>
      </c>
      <c r="G93" s="133">
        <f>VLOOKUP($A93,IKP!$Q$6:$AC$124,13,FALSE)</f>
        <v>35400.119879509999</v>
      </c>
      <c r="H93" s="132">
        <f>((-0.0000000006)*IKP!$J$5 + 0.0461)*E93</f>
        <v>891.74143616688707</v>
      </c>
      <c r="I93" s="132">
        <f>((-0.0000000006)*IKP!$K$5 + 0.0461)*F93</f>
        <v>904.34067937004988</v>
      </c>
      <c r="J93" s="132">
        <f>((-0.0000000006)*IKP!$L$5 + 0.0461)*G93</f>
        <v>911.88669382704154</v>
      </c>
      <c r="K93" s="132">
        <f t="shared" si="29"/>
        <v>214.01794468005289</v>
      </c>
      <c r="L93" s="132">
        <f t="shared" si="30"/>
        <v>217.04176304881199</v>
      </c>
      <c r="M93" s="132">
        <f t="shared" si="31"/>
        <v>218.85280651848998</v>
      </c>
      <c r="N93" s="137">
        <f>VLOOKUP(A93,NSAmaksa_2021!$A$4:$N$138,12,FALSE)</f>
        <v>86.05</v>
      </c>
      <c r="O93" s="137">
        <f>VLOOKUP(A93,NSAmaksa_2021!$A$4:$N$138,14,FALSE)</f>
        <v>63.533333333333331</v>
      </c>
      <c r="P93" s="132">
        <f t="shared" si="32"/>
        <v>46040.610349296374</v>
      </c>
      <c r="Q93" s="132">
        <f t="shared" si="33"/>
        <v>46691.109275875679</v>
      </c>
      <c r="R93" s="132">
        <f t="shared" si="34"/>
        <v>47080.710002290158</v>
      </c>
      <c r="S93" s="132">
        <f t="shared" si="35"/>
        <v>41221.639628250516</v>
      </c>
      <c r="T93" s="132">
        <f t="shared" si="36"/>
        <v>41804.052244559927</v>
      </c>
      <c r="U93" s="132">
        <f t="shared" si="37"/>
        <v>42152.874308848819</v>
      </c>
      <c r="V93" s="132">
        <f t="shared" si="38"/>
        <v>4818.9707210458582</v>
      </c>
      <c r="W93" s="132">
        <f t="shared" si="39"/>
        <v>4887.0570313157514</v>
      </c>
      <c r="X93" s="132">
        <f t="shared" si="40"/>
        <v>4927.8356934413387</v>
      </c>
      <c r="Y93" s="132">
        <f t="shared" si="41"/>
        <v>14633.863445802948</v>
      </c>
      <c r="Z93" s="138">
        <f t="shared" si="42"/>
        <v>4.3988209974308372</v>
      </c>
    </row>
    <row r="94" spans="1:26" outlineLevel="1" x14ac:dyDescent="0.3">
      <c r="A94" s="98" t="s">
        <v>89</v>
      </c>
      <c r="B94" s="132">
        <f>VLOOKUP(A94,Iedz_sk!$B$5:$Y$123,15,FALSE)</f>
        <v>6836</v>
      </c>
      <c r="C94" s="132">
        <f>VLOOKUP(A94,Iedz_sk!$B$5:$Y$123,16,FALSE)</f>
        <v>6846</v>
      </c>
      <c r="D94" s="132">
        <f>VLOOKUP(A94,Iedz_sk!$B$5:$Y$123,17,FALSE)</f>
        <v>6856</v>
      </c>
      <c r="E94" s="133">
        <f>VLOOKUP($A94,IKP!$Q$6:$AC$124,11,FALSE)</f>
        <v>88684.247194200099</v>
      </c>
      <c r="F94" s="133">
        <f>VLOOKUP($A94,IKP!$Q$6:$AC$124,12,FALSE)</f>
        <v>93632.305827887758</v>
      </c>
      <c r="G94" s="133">
        <f>VLOOKUP($A94,IKP!$Q$6:$AC$124,13,FALSE)</f>
        <v>97634.391078634071</v>
      </c>
      <c r="H94" s="132">
        <f>((-0.0000000006)*IKP!$J$5 + 0.0461)*E94</f>
        <v>2434.8229910089381</v>
      </c>
      <c r="I94" s="132">
        <f>((-0.0000000006)*IKP!$K$5 + 0.0461)*F94</f>
        <v>2481.6371187055956</v>
      </c>
      <c r="J94" s="132">
        <f>((-0.0000000006)*IKP!$L$5 + 0.0461)*G94</f>
        <v>2515.0056662956245</v>
      </c>
      <c r="K94" s="132">
        <f t="shared" si="29"/>
        <v>584.35751784214517</v>
      </c>
      <c r="L94" s="132">
        <f t="shared" si="30"/>
        <v>595.59290848934302</v>
      </c>
      <c r="M94" s="132">
        <f t="shared" si="31"/>
        <v>603.6013599109499</v>
      </c>
      <c r="N94" s="137">
        <f>VLOOKUP(A94,NSAmaksa_2021!$A$4:$N$138,12,FALSE)</f>
        <v>106.29849999999999</v>
      </c>
      <c r="O94" s="137">
        <f>VLOOKUP(A94,NSAmaksa_2021!$A$4:$N$138,14,FALSE)</f>
        <v>48.4</v>
      </c>
      <c r="P94" s="132">
        <f t="shared" si="32"/>
        <v>155290.81902585813</v>
      </c>
      <c r="Q94" s="132">
        <f t="shared" si="33"/>
        <v>158276.58195763605</v>
      </c>
      <c r="R94" s="132">
        <f t="shared" si="34"/>
        <v>160404.79789123524</v>
      </c>
      <c r="S94" s="132">
        <f t="shared" si="35"/>
        <v>121457.39527907471</v>
      </c>
      <c r="T94" s="132">
        <f t="shared" si="36"/>
        <v>123792.64594546582</v>
      </c>
      <c r="U94" s="132">
        <f t="shared" si="37"/>
        <v>125457.18455443112</v>
      </c>
      <c r="V94" s="132">
        <f t="shared" si="38"/>
        <v>33833.423746783417</v>
      </c>
      <c r="W94" s="132">
        <f t="shared" si="39"/>
        <v>34483.936012170234</v>
      </c>
      <c r="X94" s="132">
        <f t="shared" si="40"/>
        <v>34947.613336804119</v>
      </c>
      <c r="Y94" s="132">
        <f t="shared" si="41"/>
        <v>103264.97309575777</v>
      </c>
      <c r="Z94" s="138">
        <f t="shared" si="42"/>
        <v>15.083770427076907</v>
      </c>
    </row>
    <row r="95" spans="1:26" outlineLevel="1" x14ac:dyDescent="0.3">
      <c r="A95" s="98" t="s">
        <v>90</v>
      </c>
      <c r="B95" s="132">
        <f>VLOOKUP(A95,Iedz_sk!$B$5:$Y$123,15,FALSE)</f>
        <v>1505</v>
      </c>
      <c r="C95" s="132">
        <f>VLOOKUP(A95,Iedz_sk!$B$5:$Y$123,16,FALSE)</f>
        <v>1463</v>
      </c>
      <c r="D95" s="132">
        <f>VLOOKUP(A95,Iedz_sk!$B$5:$Y$123,17,FALSE)</f>
        <v>1421</v>
      </c>
      <c r="E95" s="133">
        <f>VLOOKUP($A95,IKP!$Q$6:$AC$124,11,FALSE)</f>
        <v>14419.653975853169</v>
      </c>
      <c r="F95" s="133">
        <f>VLOOKUP($A95,IKP!$Q$6:$AC$124,12,FALSE)</f>
        <v>14999.629007689537</v>
      </c>
      <c r="G95" s="133">
        <f>VLOOKUP($A95,IKP!$Q$6:$AC$124,13,FALSE)</f>
        <v>15402.195452781296</v>
      </c>
      <c r="H95" s="132">
        <f>((-0.0000000006)*IKP!$J$5 + 0.0461)*E95</f>
        <v>395.89110956671539</v>
      </c>
      <c r="I95" s="132">
        <f>((-0.0000000006)*IKP!$K$5 + 0.0461)*F95</f>
        <v>397.55120610528337</v>
      </c>
      <c r="J95" s="132">
        <f>((-0.0000000006)*IKP!$L$5 + 0.0461)*G95</f>
        <v>396.75168154569076</v>
      </c>
      <c r="K95" s="132">
        <f t="shared" si="29"/>
        <v>95.013866296011699</v>
      </c>
      <c r="L95" s="132">
        <f t="shared" si="30"/>
        <v>95.412289465268003</v>
      </c>
      <c r="M95" s="132">
        <f t="shared" si="31"/>
        <v>95.220403570965786</v>
      </c>
      <c r="N95" s="137">
        <f>VLOOKUP(A95,NSAmaksa_2021!$A$4:$N$138,12,FALSE)</f>
        <v>85.25</v>
      </c>
      <c r="O95" s="137">
        <f>VLOOKUP(A95,NSAmaksa_2021!$A$4:$N$138,14,FALSE)</f>
        <v>39.783333333333331</v>
      </c>
      <c r="P95" s="132">
        <f t="shared" si="32"/>
        <v>20249.830254337492</v>
      </c>
      <c r="Q95" s="132">
        <f t="shared" si="33"/>
        <v>20334.744192285245</v>
      </c>
      <c r="R95" s="132">
        <f t="shared" si="34"/>
        <v>20293.848511062082</v>
      </c>
      <c r="S95" s="132">
        <f t="shared" si="35"/>
        <v>15929.866466745494</v>
      </c>
      <c r="T95" s="132">
        <f t="shared" si="36"/>
        <v>15996.665431264393</v>
      </c>
      <c r="U95" s="132">
        <f t="shared" si="37"/>
        <v>15964.494162035504</v>
      </c>
      <c r="V95" s="132">
        <f t="shared" si="38"/>
        <v>4319.963787591998</v>
      </c>
      <c r="W95" s="132">
        <f t="shared" si="39"/>
        <v>4338.0787610208517</v>
      </c>
      <c r="X95" s="132">
        <f t="shared" si="40"/>
        <v>4329.3543490265783</v>
      </c>
      <c r="Y95" s="132">
        <f t="shared" si="41"/>
        <v>12987.396897639428</v>
      </c>
      <c r="Z95" s="138">
        <f t="shared" si="42"/>
        <v>8.8822973212370968</v>
      </c>
    </row>
    <row r="96" spans="1:26" outlineLevel="1" x14ac:dyDescent="0.3">
      <c r="A96" s="98" t="s">
        <v>91</v>
      </c>
      <c r="B96" s="132">
        <f>VLOOKUP(A96,Iedz_sk!$B$5:$Y$123,15,FALSE)</f>
        <v>2026</v>
      </c>
      <c r="C96" s="132">
        <f>VLOOKUP(A96,Iedz_sk!$B$5:$Y$123,16,FALSE)</f>
        <v>2003</v>
      </c>
      <c r="D96" s="132">
        <f>VLOOKUP(A96,Iedz_sk!$B$5:$Y$123,17,FALSE)</f>
        <v>1980</v>
      </c>
      <c r="E96" s="133">
        <f>VLOOKUP($A96,IKP!$Q$6:$AC$124,11,FALSE)</f>
        <v>13322.775869688638</v>
      </c>
      <c r="F96" s="133">
        <f>VLOOKUP($A96,IKP!$Q$6:$AC$124,12,FALSE)</f>
        <v>14168.373347408078</v>
      </c>
      <c r="G96" s="133">
        <f>VLOOKUP($A96,IKP!$Q$6:$AC$124,13,FALSE)</f>
        <v>14887.514970776561</v>
      </c>
      <c r="H96" s="132">
        <f>((-0.0000000006)*IKP!$J$5 + 0.0461)*E96</f>
        <v>365.77635846130812</v>
      </c>
      <c r="I96" s="132">
        <f>((-0.0000000006)*IKP!$K$5 + 0.0461)*F96</f>
        <v>375.51954851179727</v>
      </c>
      <c r="J96" s="132">
        <f>((-0.0000000006)*IKP!$L$5 + 0.0461)*G96</f>
        <v>383.4938088404557</v>
      </c>
      <c r="K96" s="132">
        <f t="shared" si="29"/>
        <v>87.786326030713937</v>
      </c>
      <c r="L96" s="132">
        <f t="shared" si="30"/>
        <v>90.124691642831351</v>
      </c>
      <c r="M96" s="132">
        <f t="shared" si="31"/>
        <v>92.038514121709369</v>
      </c>
      <c r="N96" s="137">
        <f>VLOOKUP(A96,NSAmaksa_2021!$A$4:$N$138,12,FALSE)</f>
        <v>121.726</v>
      </c>
      <c r="O96" s="137">
        <f>VLOOKUP(A96,NSAmaksa_2021!$A$4:$N$138,14,FALSE)</f>
        <v>56.805466666666675</v>
      </c>
      <c r="P96" s="132">
        <f t="shared" si="32"/>
        <v>26714.695806036714</v>
      </c>
      <c r="Q96" s="132">
        <f t="shared" si="33"/>
        <v>27426.295537288221</v>
      </c>
      <c r="R96" s="132">
        <f t="shared" si="34"/>
        <v>28008.700424947983</v>
      </c>
      <c r="S96" s="132">
        <f t="shared" si="35"/>
        <v>21015.560700748883</v>
      </c>
      <c r="T96" s="132">
        <f t="shared" si="36"/>
        <v>21575.3524893334</v>
      </c>
      <c r="U96" s="132">
        <f t="shared" si="37"/>
        <v>22033.511000959083</v>
      </c>
      <c r="V96" s="132">
        <f t="shared" si="38"/>
        <v>5699.1351052878308</v>
      </c>
      <c r="W96" s="132">
        <f t="shared" si="39"/>
        <v>5850.9430479548209</v>
      </c>
      <c r="X96" s="132">
        <f t="shared" si="40"/>
        <v>5975.1894239889007</v>
      </c>
      <c r="Y96" s="132">
        <f t="shared" si="41"/>
        <v>17525.267577231552</v>
      </c>
      <c r="Z96" s="138">
        <f t="shared" si="42"/>
        <v>8.7518608967198048</v>
      </c>
    </row>
    <row r="97" spans="1:26" outlineLevel="1" x14ac:dyDescent="0.3">
      <c r="A97" s="98" t="s">
        <v>92</v>
      </c>
      <c r="B97" s="132">
        <f>VLOOKUP(A97,Iedz_sk!$B$5:$Y$123,15,FALSE)</f>
        <v>3290</v>
      </c>
      <c r="C97" s="132">
        <f>VLOOKUP(A97,Iedz_sk!$B$5:$Y$123,16,FALSE)</f>
        <v>3249</v>
      </c>
      <c r="D97" s="132">
        <f>VLOOKUP(A97,Iedz_sk!$B$5:$Y$123,17,FALSE)</f>
        <v>3207</v>
      </c>
      <c r="E97" s="133">
        <f>VLOOKUP($A97,IKP!$Q$6:$AC$124,11,FALSE)</f>
        <v>28077.522318024428</v>
      </c>
      <c r="F97" s="133">
        <f>VLOOKUP($A97,IKP!$Q$6:$AC$124,12,FALSE)</f>
        <v>29623.600411494226</v>
      </c>
      <c r="G97" s="133">
        <f>VLOOKUP($A97,IKP!$Q$6:$AC$124,13,FALSE)</f>
        <v>30862.330422142168</v>
      </c>
      <c r="H97" s="132">
        <f>((-0.0000000006)*IKP!$J$5 + 0.0461)*E97</f>
        <v>770.86742046521431</v>
      </c>
      <c r="I97" s="132">
        <f>((-0.0000000006)*IKP!$K$5 + 0.0461)*F97</f>
        <v>785.14595705887723</v>
      </c>
      <c r="J97" s="132">
        <f>((-0.0000000006)*IKP!$L$5 + 0.0461)*G97</f>
        <v>794.99585165909025</v>
      </c>
      <c r="K97" s="132">
        <f t="shared" si="29"/>
        <v>185.00818091165144</v>
      </c>
      <c r="L97" s="132">
        <f t="shared" si="30"/>
        <v>188.43502969413055</v>
      </c>
      <c r="M97" s="132">
        <f t="shared" si="31"/>
        <v>190.79900439818167</v>
      </c>
      <c r="N97" s="137">
        <f>VLOOKUP(A97,NSAmaksa_2021!$A$4:$N$138,12,FALSE)</f>
        <v>113.8</v>
      </c>
      <c r="O97" s="137">
        <f>VLOOKUP(A97,NSAmaksa_2021!$A$4:$N$138,14,FALSE)</f>
        <v>41.533333333333339</v>
      </c>
      <c r="P97" s="132">
        <f t="shared" si="32"/>
        <v>52634.827469364827</v>
      </c>
      <c r="Q97" s="132">
        <f t="shared" si="33"/>
        <v>53609.765947980137</v>
      </c>
      <c r="R97" s="132">
        <f t="shared" si="34"/>
        <v>54282.316751282684</v>
      </c>
      <c r="S97" s="132">
        <f t="shared" si="35"/>
        <v>39264.902928816155</v>
      </c>
      <c r="T97" s="132">
        <f t="shared" si="36"/>
        <v>39992.194468750968</v>
      </c>
      <c r="U97" s="132">
        <f t="shared" si="37"/>
        <v>40493.908700107422</v>
      </c>
      <c r="V97" s="132">
        <f t="shared" si="38"/>
        <v>13369.924540548673</v>
      </c>
      <c r="W97" s="132">
        <f t="shared" si="39"/>
        <v>13617.571479229169</v>
      </c>
      <c r="X97" s="132">
        <f t="shared" si="40"/>
        <v>13788.408051175262</v>
      </c>
      <c r="Y97" s="132">
        <f t="shared" si="41"/>
        <v>40775.904070953104</v>
      </c>
      <c r="Z97" s="138">
        <f t="shared" si="42"/>
        <v>12.554590899259997</v>
      </c>
    </row>
    <row r="98" spans="1:26" outlineLevel="1" x14ac:dyDescent="0.3">
      <c r="A98" s="98" t="s">
        <v>93</v>
      </c>
      <c r="B98" s="132">
        <f>VLOOKUP(A98,Iedz_sk!$B$5:$Y$123,15,FALSE)</f>
        <v>4817</v>
      </c>
      <c r="C98" s="132">
        <f>VLOOKUP(A98,Iedz_sk!$B$5:$Y$123,16,FALSE)</f>
        <v>4711</v>
      </c>
      <c r="D98" s="132">
        <f>VLOOKUP(A98,Iedz_sk!$B$5:$Y$123,17,FALSE)</f>
        <v>4605</v>
      </c>
      <c r="E98" s="133">
        <f>VLOOKUP($A98,IKP!$Q$6:$AC$124,11,FALSE)</f>
        <v>45488.317852514134</v>
      </c>
      <c r="F98" s="133">
        <f>VLOOKUP($A98,IKP!$Q$6:$AC$124,12,FALSE)</f>
        <v>47864.879187497841</v>
      </c>
      <c r="G98" s="133">
        <f>VLOOKUP($A98,IKP!$Q$6:$AC$124,13,FALSE)</f>
        <v>49744.761201215231</v>
      </c>
      <c r="H98" s="132">
        <f>((-0.0000000006)*IKP!$J$5 + 0.0461)*E98</f>
        <v>1248.8802198105273</v>
      </c>
      <c r="I98" s="132">
        <f>((-0.0000000006)*IKP!$K$5 + 0.0461)*F98</f>
        <v>1268.6140731426349</v>
      </c>
      <c r="J98" s="132">
        <f>((-0.0000000006)*IKP!$L$5 + 0.0461)*G98</f>
        <v>1281.3963902209173</v>
      </c>
      <c r="K98" s="132">
        <f t="shared" si="29"/>
        <v>299.73125275452657</v>
      </c>
      <c r="L98" s="132">
        <f t="shared" si="30"/>
        <v>304.46737755423237</v>
      </c>
      <c r="M98" s="132">
        <f t="shared" si="31"/>
        <v>307.53513365302013</v>
      </c>
      <c r="N98" s="137">
        <f>VLOOKUP(A98,NSAmaksa_2021!$A$4:$N$138,12,FALSE)</f>
        <v>123.84350000000001</v>
      </c>
      <c r="O98" s="137">
        <f>VLOOKUP(A98,NSAmaksa_2021!$A$4:$N$138,14,FALSE)</f>
        <v>57.793633333333325</v>
      </c>
      <c r="P98" s="132">
        <f t="shared" si="32"/>
        <v>92799.418501263019</v>
      </c>
      <c r="Q98" s="132">
        <f t="shared" si="33"/>
        <v>94265.764180343947</v>
      </c>
      <c r="R98" s="132">
        <f t="shared" si="34"/>
        <v>95215.568311394512</v>
      </c>
      <c r="S98" s="132">
        <f t="shared" si="35"/>
        <v>73002.209220993565</v>
      </c>
      <c r="T98" s="132">
        <f t="shared" si="36"/>
        <v>74155.734488537229</v>
      </c>
      <c r="U98" s="132">
        <f t="shared" si="37"/>
        <v>74902.913738297008</v>
      </c>
      <c r="V98" s="132">
        <f t="shared" si="38"/>
        <v>19797.209280269453</v>
      </c>
      <c r="W98" s="132">
        <f t="shared" si="39"/>
        <v>20110.029691806718</v>
      </c>
      <c r="X98" s="132">
        <f t="shared" si="40"/>
        <v>20312.654573097505</v>
      </c>
      <c r="Y98" s="132">
        <f t="shared" si="41"/>
        <v>60219.893545173676</v>
      </c>
      <c r="Z98" s="138">
        <f t="shared" si="42"/>
        <v>12.789601798927485</v>
      </c>
    </row>
    <row r="99" spans="1:26" outlineLevel="1" x14ac:dyDescent="0.3">
      <c r="A99" s="98" t="s">
        <v>94</v>
      </c>
      <c r="B99" s="132">
        <f>VLOOKUP(A99,Iedz_sk!$B$5:$Y$123,15,FALSE)</f>
        <v>7282</v>
      </c>
      <c r="C99" s="132">
        <f>VLOOKUP(A99,Iedz_sk!$B$5:$Y$123,16,FALSE)</f>
        <v>7147</v>
      </c>
      <c r="D99" s="132">
        <f>VLOOKUP(A99,Iedz_sk!$B$5:$Y$123,17,FALSE)</f>
        <v>7012</v>
      </c>
      <c r="E99" s="133">
        <f>VLOOKUP($A99,IKP!$Q$6:$AC$124,11,FALSE)</f>
        <v>94470.258640749729</v>
      </c>
      <c r="F99" s="133">
        <f>VLOOKUP($A99,IKP!$Q$6:$AC$124,12,FALSE)</f>
        <v>97749.063650586293</v>
      </c>
      <c r="G99" s="133">
        <f>VLOOKUP($A99,IKP!$Q$6:$AC$124,13,FALSE)</f>
        <v>99855.943734448971</v>
      </c>
      <c r="H99" s="132">
        <f>((-0.0000000006)*IKP!$J$5 + 0.0461)*E99</f>
        <v>2593.6777385206392</v>
      </c>
      <c r="I99" s="132">
        <f>((-0.0000000006)*IKP!$K$5 + 0.0461)*F99</f>
        <v>2590.7479531681115</v>
      </c>
      <c r="J99" s="132">
        <f>((-0.0000000006)*IKP!$L$5 + 0.0461)*G99</f>
        <v>2572.2315828566102</v>
      </c>
      <c r="K99" s="132">
        <f t="shared" si="29"/>
        <v>622.48265724495343</v>
      </c>
      <c r="L99" s="132">
        <f t="shared" si="30"/>
        <v>621.77950876034674</v>
      </c>
      <c r="M99" s="132">
        <f t="shared" si="31"/>
        <v>617.33557988558653</v>
      </c>
      <c r="N99" s="137">
        <f>VLOOKUP(A99,NSAmaksa_2021!$A$4:$N$138,12,FALSE)</f>
        <v>123.84350000000001</v>
      </c>
      <c r="O99" s="137">
        <f>VLOOKUP(A99,NSAmaksa_2021!$A$4:$N$138,14,FALSE)</f>
        <v>57.793633333333325</v>
      </c>
      <c r="P99" s="132">
        <f t="shared" si="32"/>
        <v>192726.07740628847</v>
      </c>
      <c r="Q99" s="132">
        <f t="shared" si="33"/>
        <v>192508.37648290501</v>
      </c>
      <c r="R99" s="132">
        <f t="shared" si="34"/>
        <v>191132.49721890155</v>
      </c>
      <c r="S99" s="132">
        <f t="shared" si="35"/>
        <v>151611.18089294693</v>
      </c>
      <c r="T99" s="132">
        <f t="shared" si="36"/>
        <v>151439.92283321859</v>
      </c>
      <c r="U99" s="132">
        <f t="shared" si="37"/>
        <v>150357.56447886923</v>
      </c>
      <c r="V99" s="132">
        <f t="shared" si="38"/>
        <v>41114.896513341548</v>
      </c>
      <c r="W99" s="132">
        <f t="shared" si="39"/>
        <v>41068.453649686417</v>
      </c>
      <c r="X99" s="132">
        <f t="shared" si="40"/>
        <v>40774.932740032324</v>
      </c>
      <c r="Y99" s="132">
        <f t="shared" si="41"/>
        <v>122958.28290306029</v>
      </c>
      <c r="Z99" s="138">
        <f t="shared" si="42"/>
        <v>17.207371961951342</v>
      </c>
    </row>
    <row r="100" spans="1:26" outlineLevel="1" x14ac:dyDescent="0.3">
      <c r="A100" s="98" t="s">
        <v>95</v>
      </c>
      <c r="B100" s="132">
        <f>VLOOKUP(A100,Iedz_sk!$B$5:$Y$123,15,FALSE)</f>
        <v>3241</v>
      </c>
      <c r="C100" s="132">
        <f>VLOOKUP(A100,Iedz_sk!$B$5:$Y$123,16,FALSE)</f>
        <v>3189</v>
      </c>
      <c r="D100" s="132">
        <f>VLOOKUP(A100,Iedz_sk!$B$5:$Y$123,17,FALSE)</f>
        <v>3138</v>
      </c>
      <c r="E100" s="133">
        <f>VLOOKUP($A100,IKP!$Q$6:$AC$124,11,FALSE)</f>
        <v>27659.346453713428</v>
      </c>
      <c r="F100" s="133">
        <f>VLOOKUP($A100,IKP!$Q$6:$AC$124,12,FALSE)</f>
        <v>29076.534845261645</v>
      </c>
      <c r="G100" s="133">
        <f>VLOOKUP($A100,IKP!$Q$6:$AC$124,13,FALSE)</f>
        <v>30198.313958429102</v>
      </c>
      <c r="H100" s="132">
        <f>((-0.0000000006)*IKP!$J$5 + 0.0461)*E100</f>
        <v>759.38641633062616</v>
      </c>
      <c r="I100" s="132">
        <f>((-0.0000000006)*IKP!$K$5 + 0.0461)*F100</f>
        <v>770.64649340128028</v>
      </c>
      <c r="J100" s="132">
        <f>((-0.0000000006)*IKP!$L$5 + 0.0461)*G100</f>
        <v>777.89117009860479</v>
      </c>
      <c r="K100" s="132">
        <f t="shared" si="29"/>
        <v>182.25273991935026</v>
      </c>
      <c r="L100" s="132">
        <f t="shared" si="30"/>
        <v>184.95515841630726</v>
      </c>
      <c r="M100" s="132">
        <f t="shared" si="31"/>
        <v>186.69388082366518</v>
      </c>
      <c r="N100" s="137">
        <f>VLOOKUP(A100,NSAmaksa_2021!$A$4:$N$138,12,FALSE)</f>
        <v>107.7</v>
      </c>
      <c r="O100" s="137">
        <f>VLOOKUP(A100,NSAmaksa_2021!$A$4:$N$138,14,FALSE)</f>
        <v>50.26</v>
      </c>
      <c r="P100" s="132">
        <f t="shared" si="32"/>
        <v>49071.550223285063</v>
      </c>
      <c r="Q100" s="132">
        <f t="shared" si="33"/>
        <v>49799.176403590733</v>
      </c>
      <c r="R100" s="132">
        <f t="shared" si="34"/>
        <v>50267.327411771839</v>
      </c>
      <c r="S100" s="132">
        <f t="shared" si="35"/>
        <v>38602.95284231758</v>
      </c>
      <c r="T100" s="132">
        <f t="shared" si="36"/>
        <v>39175.352104158046</v>
      </c>
      <c r="U100" s="132">
        <f t="shared" si="37"/>
        <v>39543.630897260511</v>
      </c>
      <c r="V100" s="132">
        <f t="shared" si="38"/>
        <v>10468.597380967483</v>
      </c>
      <c r="W100" s="132">
        <f t="shared" si="39"/>
        <v>10623.824299432687</v>
      </c>
      <c r="X100" s="132">
        <f t="shared" si="40"/>
        <v>10723.696514511328</v>
      </c>
      <c r="Y100" s="132">
        <f t="shared" si="41"/>
        <v>31816.118194911498</v>
      </c>
      <c r="Z100" s="138">
        <f t="shared" si="42"/>
        <v>9.9788150542457714</v>
      </c>
    </row>
    <row r="101" spans="1:26" outlineLevel="1" x14ac:dyDescent="0.3">
      <c r="A101" s="98" t="s">
        <v>96</v>
      </c>
      <c r="B101" s="132">
        <f>VLOOKUP(A101,Iedz_sk!$B$5:$Y$123,15,FALSE)</f>
        <v>22868</v>
      </c>
      <c r="C101" s="132">
        <f>VLOOKUP(A101,Iedz_sk!$B$5:$Y$123,16,FALSE)</f>
        <v>23017</v>
      </c>
      <c r="D101" s="132">
        <f>VLOOKUP(A101,Iedz_sk!$B$5:$Y$123,17,FALSE)</f>
        <v>23165</v>
      </c>
      <c r="E101" s="133">
        <f>VLOOKUP($A101,IKP!$Q$6:$AC$124,11,FALSE)</f>
        <v>296669.30439393915</v>
      </c>
      <c r="F101" s="133">
        <f>VLOOKUP($A101,IKP!$Q$6:$AC$124,12,FALSE)</f>
        <v>314802.0425417021</v>
      </c>
      <c r="G101" s="133">
        <f>VLOOKUP($A101,IKP!$Q$6:$AC$124,13,FALSE)</f>
        <v>329886.32866635913</v>
      </c>
      <c r="H101" s="132">
        <f>((-0.0000000006)*IKP!$J$5 + 0.0461)*E101</f>
        <v>8145.0456638959049</v>
      </c>
      <c r="I101" s="132">
        <f>((-0.0000000006)*IKP!$K$5 + 0.0461)*F101</f>
        <v>8343.535138949268</v>
      </c>
      <c r="J101" s="132">
        <f>((-0.0000000006)*IKP!$L$5 + 0.0461)*G101</f>
        <v>8497.6817765078958</v>
      </c>
      <c r="K101" s="132">
        <f t="shared" ref="K101:K124" si="43">H101*$AB$6*$AB$5</f>
        <v>1954.8109593350173</v>
      </c>
      <c r="L101" s="132">
        <f t="shared" ref="L101:L124" si="44">I101*$AB$6*$AB$5</f>
        <v>2002.4484333478244</v>
      </c>
      <c r="M101" s="132">
        <f t="shared" ref="M101:M124" si="45">J101*$AB$6*$AB$5</f>
        <v>2039.443626361895</v>
      </c>
      <c r="N101" s="137">
        <f>VLOOKUP(A101,NSAmaksa_2021!$A$4:$N$138,12,FALSE)</f>
        <v>74.5</v>
      </c>
      <c r="O101" s="137">
        <f>VLOOKUP(A101,NSAmaksa_2021!$A$4:$N$138,14,FALSE)</f>
        <v>34.766666666666666</v>
      </c>
      <c r="P101" s="132">
        <f t="shared" si="32"/>
        <v>364083.54117614694</v>
      </c>
      <c r="Q101" s="132">
        <f t="shared" si="33"/>
        <v>372956.02071103227</v>
      </c>
      <c r="R101" s="132">
        <f t="shared" si="34"/>
        <v>379846.37540990295</v>
      </c>
      <c r="S101" s="132">
        <f t="shared" si="35"/>
        <v>286412.38572523557</v>
      </c>
      <c r="T101" s="132">
        <f t="shared" si="36"/>
        <v>293392.069626012</v>
      </c>
      <c r="U101" s="132">
        <f t="shared" si="37"/>
        <v>298812.48198912368</v>
      </c>
      <c r="V101" s="132">
        <f t="shared" si="38"/>
        <v>77671.155450911378</v>
      </c>
      <c r="W101" s="132">
        <f t="shared" si="39"/>
        <v>79563.951085020264</v>
      </c>
      <c r="X101" s="132">
        <f t="shared" si="40"/>
        <v>81033.893420779263</v>
      </c>
      <c r="Y101" s="132">
        <f t="shared" si="41"/>
        <v>238268.9999567109</v>
      </c>
      <c r="Z101" s="138">
        <f t="shared" si="42"/>
        <v>10.351364513804722</v>
      </c>
    </row>
    <row r="102" spans="1:26" outlineLevel="1" x14ac:dyDescent="0.3">
      <c r="A102" s="98" t="s">
        <v>97</v>
      </c>
      <c r="B102" s="132">
        <f>VLOOKUP(A102,Iedz_sk!$B$5:$Y$123,15,FALSE)</f>
        <v>21438</v>
      </c>
      <c r="C102" s="132">
        <f>VLOOKUP(A102,Iedz_sk!$B$5:$Y$123,16,FALSE)</f>
        <v>20996</v>
      </c>
      <c r="D102" s="132">
        <f>VLOOKUP(A102,Iedz_sk!$B$5:$Y$123,17,FALSE)</f>
        <v>20554</v>
      </c>
      <c r="E102" s="133">
        <f>VLOOKUP($A102,IKP!$Q$6:$AC$124,11,FALSE)</f>
        <v>205401.02454108986</v>
      </c>
      <c r="F102" s="133">
        <f>VLOOKUP($A102,IKP!$Q$6:$AC$124,12,FALSE)</f>
        <v>215264.6689305875</v>
      </c>
      <c r="G102" s="133">
        <f>VLOOKUP($A102,IKP!$Q$6:$AC$124,13,FALSE)</f>
        <v>222784.46540215815</v>
      </c>
      <c r="H102" s="132">
        <f>((-0.0000000006)*IKP!$J$5 + 0.0461)*E102</f>
        <v>5639.2781441137831</v>
      </c>
      <c r="I102" s="132">
        <f>((-0.0000000006)*IKP!$K$5 + 0.0461)*F102</f>
        <v>5705.3896947276353</v>
      </c>
      <c r="J102" s="132">
        <f>((-0.0000000006)*IKP!$L$5 + 0.0461)*G102</f>
        <v>5738.7994809923484</v>
      </c>
      <c r="K102" s="132">
        <f t="shared" si="43"/>
        <v>1353.4267545873079</v>
      </c>
      <c r="L102" s="132">
        <f t="shared" si="44"/>
        <v>1369.2935267346327</v>
      </c>
      <c r="M102" s="132">
        <f t="shared" si="45"/>
        <v>1377.3118754381637</v>
      </c>
      <c r="N102" s="137">
        <f>VLOOKUP(A102,NSAmaksa_2021!$A$4:$N$138,12,FALSE)</f>
        <v>103.45</v>
      </c>
      <c r="O102" s="137">
        <f>VLOOKUP(A102,NSAmaksa_2021!$A$4:$N$138,14,FALSE)</f>
        <v>48.276666666666664</v>
      </c>
      <c r="P102" s="132">
        <f t="shared" ref="P102:P124" si="46">H102*$AB$5*$N102</f>
        <v>350029.9944051425</v>
      </c>
      <c r="Q102" s="132">
        <f t="shared" ref="Q102:Q124" si="47">I102*$AB$5*$N102</f>
        <v>354133.5383517443</v>
      </c>
      <c r="R102" s="132">
        <f t="shared" ref="R102:R124" si="48">J102*$AB$5*$N102</f>
        <v>356207.28378519509</v>
      </c>
      <c r="S102" s="132">
        <f t="shared" ref="S102:S124" si="49">H102*$AB$5*(1-$AB$6)*$N102+K102*$O102</f>
        <v>275356.92893204541</v>
      </c>
      <c r="T102" s="132">
        <f t="shared" ref="T102:T124" si="50">I102*$AB$5*(1-$AB$6)*$N102+L102*$O102</f>
        <v>278585.05017003888</v>
      </c>
      <c r="U102" s="132">
        <f t="shared" ref="U102:U124" si="51">J102*$AB$5*(1-$AB$6)*$N102+M102*$O102</f>
        <v>280216.39657768677</v>
      </c>
      <c r="V102" s="132">
        <f t="shared" si="38"/>
        <v>74673.065473097085</v>
      </c>
      <c r="W102" s="132">
        <f t="shared" si="39"/>
        <v>75548.488181705412</v>
      </c>
      <c r="X102" s="132">
        <f t="shared" si="40"/>
        <v>75990.88720750832</v>
      </c>
      <c r="Y102" s="132">
        <f t="shared" si="41"/>
        <v>226212.44086231082</v>
      </c>
      <c r="Z102" s="138">
        <f t="shared" si="42"/>
        <v>10.778576632046658</v>
      </c>
    </row>
    <row r="103" spans="1:26" outlineLevel="1" x14ac:dyDescent="0.3">
      <c r="A103" s="98" t="s">
        <v>98</v>
      </c>
      <c r="B103" s="132">
        <f>VLOOKUP(A103,Iedz_sk!$B$5:$Y$123,15,FALSE)</f>
        <v>7079</v>
      </c>
      <c r="C103" s="132">
        <f>VLOOKUP(A103,Iedz_sk!$B$5:$Y$123,16,FALSE)</f>
        <v>6951</v>
      </c>
      <c r="D103" s="132">
        <f>VLOOKUP(A103,Iedz_sk!$B$5:$Y$123,17,FALSE)</f>
        <v>6823</v>
      </c>
      <c r="E103" s="133">
        <f>VLOOKUP($A103,IKP!$Q$6:$AC$124,11,FALSE)</f>
        <v>91836.715314181172</v>
      </c>
      <c r="F103" s="133">
        <f>VLOOKUP($A103,IKP!$Q$6:$AC$124,12,FALSE)</f>
        <v>95068.384138131427</v>
      </c>
      <c r="G103" s="133">
        <f>VLOOKUP($A103,IKP!$Q$6:$AC$124,13,FALSE)</f>
        <v>97164.447247596312</v>
      </c>
      <c r="H103" s="132">
        <f>((-0.0000000006)*IKP!$J$5 + 0.0461)*E103</f>
        <v>2521.3738960433402</v>
      </c>
      <c r="I103" s="132">
        <f>((-0.0000000006)*IKP!$K$5 + 0.0461)*F103</f>
        <v>2519.6990377041475</v>
      </c>
      <c r="J103" s="132">
        <f>((-0.0000000006)*IKP!$L$5 + 0.0461)*G103</f>
        <v>2502.9001839461853</v>
      </c>
      <c r="K103" s="132">
        <f t="shared" si="43"/>
        <v>605.12973505040168</v>
      </c>
      <c r="L103" s="132">
        <f t="shared" si="44"/>
        <v>604.72776904899536</v>
      </c>
      <c r="M103" s="132">
        <f t="shared" si="45"/>
        <v>600.69604414708442</v>
      </c>
      <c r="N103" s="137">
        <f>VLOOKUP(A103,NSAmaksa_2021!$A$4:$N$138,12,FALSE)</f>
        <v>101.5795</v>
      </c>
      <c r="O103" s="137">
        <f>VLOOKUP(A103,NSAmaksa_2021!$A$4:$N$138,14,FALSE)</f>
        <v>47.403766666666662</v>
      </c>
      <c r="P103" s="132">
        <f t="shared" si="46"/>
        <v>153671.93980388067</v>
      </c>
      <c r="Q103" s="132">
        <f t="shared" si="47"/>
        <v>153569.86104028104</v>
      </c>
      <c r="R103" s="132">
        <f t="shared" si="48"/>
        <v>152546.00954109692</v>
      </c>
      <c r="S103" s="132">
        <f t="shared" si="49"/>
        <v>120888.59264571946</v>
      </c>
      <c r="T103" s="132">
        <f t="shared" si="50"/>
        <v>120808.29068502109</v>
      </c>
      <c r="U103" s="132">
        <f t="shared" si="51"/>
        <v>120002.86083899622</v>
      </c>
      <c r="V103" s="132">
        <f t="shared" si="38"/>
        <v>32783.34715816121</v>
      </c>
      <c r="W103" s="132">
        <f t="shared" si="39"/>
        <v>32761.570355259959</v>
      </c>
      <c r="X103" s="132">
        <f t="shared" si="40"/>
        <v>32543.148702100705</v>
      </c>
      <c r="Y103" s="132">
        <f t="shared" si="41"/>
        <v>98088.066215521874</v>
      </c>
      <c r="Z103" s="138">
        <f t="shared" si="42"/>
        <v>14.11391183396009</v>
      </c>
    </row>
    <row r="104" spans="1:26" outlineLevel="1" x14ac:dyDescent="0.3">
      <c r="A104" s="98" t="s">
        <v>99</v>
      </c>
      <c r="B104" s="132">
        <f>VLOOKUP(A104,Iedz_sk!$B$5:$Y$123,15,FALSE)</f>
        <v>2151</v>
      </c>
      <c r="C104" s="132">
        <f>VLOOKUP(A104,Iedz_sk!$B$5:$Y$123,16,FALSE)</f>
        <v>2135</v>
      </c>
      <c r="D104" s="132">
        <f>VLOOKUP(A104,Iedz_sk!$B$5:$Y$123,17,FALSE)</f>
        <v>2120</v>
      </c>
      <c r="E104" s="133">
        <f>VLOOKUP($A104,IKP!$Q$6:$AC$124,11,FALSE)</f>
        <v>27905.1807657584</v>
      </c>
      <c r="F104" s="133">
        <f>VLOOKUP($A104,IKP!$Q$6:$AC$124,12,FALSE)</f>
        <v>29200.25897495477</v>
      </c>
      <c r="G104" s="133">
        <f>VLOOKUP($A104,IKP!$Q$6:$AC$124,13,FALSE)</f>
        <v>30190.330963638309</v>
      </c>
      <c r="H104" s="132">
        <f>((-0.0000000006)*IKP!$J$5 + 0.0461)*E104</f>
        <v>766.13578900822506</v>
      </c>
      <c r="I104" s="132">
        <f>((-0.0000000006)*IKP!$K$5 + 0.0461)*F104</f>
        <v>773.92568630389223</v>
      </c>
      <c r="J104" s="132">
        <f>((-0.0000000006)*IKP!$L$5 + 0.0461)*G104</f>
        <v>777.68553275185582</v>
      </c>
      <c r="K104" s="132">
        <f t="shared" si="43"/>
        <v>183.87258936197401</v>
      </c>
      <c r="L104" s="132">
        <f t="shared" si="44"/>
        <v>185.74216471293417</v>
      </c>
      <c r="M104" s="132">
        <f t="shared" si="45"/>
        <v>186.64452786044538</v>
      </c>
      <c r="N104" s="137">
        <f>VLOOKUP(A104,NSAmaksa_2021!$A$4:$N$138,12,FALSE)</f>
        <v>94.6</v>
      </c>
      <c r="O104" s="137">
        <f>VLOOKUP(A104,NSAmaksa_2021!$A$4:$N$138,14,FALSE)</f>
        <v>44.146666666666668</v>
      </c>
      <c r="P104" s="132">
        <f t="shared" si="46"/>
        <v>43485.867384106852</v>
      </c>
      <c r="Q104" s="132">
        <f t="shared" si="47"/>
        <v>43928.021954608914</v>
      </c>
      <c r="R104" s="132">
        <f t="shared" si="48"/>
        <v>44141.430838995337</v>
      </c>
      <c r="S104" s="132">
        <f t="shared" si="49"/>
        <v>34208.882342164055</v>
      </c>
      <c r="T104" s="132">
        <f t="shared" si="50"/>
        <v>34556.710604292348</v>
      </c>
      <c r="U104" s="132">
        <f t="shared" si="51"/>
        <v>34724.59226000966</v>
      </c>
      <c r="V104" s="132">
        <f t="shared" si="38"/>
        <v>9276.9850419427967</v>
      </c>
      <c r="W104" s="132">
        <f t="shared" si="39"/>
        <v>9371.3113503165659</v>
      </c>
      <c r="X104" s="132">
        <f t="shared" si="40"/>
        <v>9416.8385789856766</v>
      </c>
      <c r="Y104" s="132">
        <f t="shared" si="41"/>
        <v>28065.134971245039</v>
      </c>
      <c r="Z104" s="138">
        <f t="shared" si="42"/>
        <v>13.144148765180219</v>
      </c>
    </row>
    <row r="105" spans="1:26" outlineLevel="1" x14ac:dyDescent="0.3">
      <c r="A105" s="98" t="s">
        <v>100</v>
      </c>
      <c r="B105" s="132">
        <f>VLOOKUP(A105,Iedz_sk!$B$5:$Y$123,15,FALSE)</f>
        <v>18081</v>
      </c>
      <c r="C105" s="132">
        <f>VLOOKUP(A105,Iedz_sk!$B$5:$Y$123,16,FALSE)</f>
        <v>18101</v>
      </c>
      <c r="D105" s="132">
        <f>VLOOKUP(A105,Iedz_sk!$B$5:$Y$123,17,FALSE)</f>
        <v>18121</v>
      </c>
      <c r="E105" s="133">
        <f>VLOOKUP($A105,IKP!$Q$6:$AC$124,11,FALSE)</f>
        <v>234566.97974229552</v>
      </c>
      <c r="F105" s="133">
        <f>VLOOKUP($A105,IKP!$Q$6:$AC$124,12,FALSE)</f>
        <v>247566.22374972192</v>
      </c>
      <c r="G105" s="133">
        <f>VLOOKUP($A105,IKP!$Q$6:$AC$124,13,FALSE)</f>
        <v>258056.12612834424</v>
      </c>
      <c r="H105" s="132">
        <f>((-0.0000000006)*IKP!$J$5 + 0.0461)*E105</f>
        <v>6440.0284523745786</v>
      </c>
      <c r="I105" s="132">
        <f>((-0.0000000006)*IKP!$K$5 + 0.0461)*F105</f>
        <v>6561.5123408837253</v>
      </c>
      <c r="J105" s="132">
        <f>((-0.0000000006)*IKP!$L$5 + 0.0461)*G105</f>
        <v>6647.3771410360287</v>
      </c>
      <c r="K105" s="132">
        <f t="shared" si="43"/>
        <v>1545.6068285698989</v>
      </c>
      <c r="L105" s="132">
        <f t="shared" si="44"/>
        <v>1574.7629618120941</v>
      </c>
      <c r="M105" s="132">
        <f t="shared" si="45"/>
        <v>1595.3705138486469</v>
      </c>
      <c r="N105" s="137">
        <f>VLOOKUP(A105,NSAmaksa_2021!$A$4:$N$138,12,FALSE)</f>
        <v>103.6</v>
      </c>
      <c r="O105" s="137">
        <f>VLOOKUP(A105,NSAmaksa_2021!$A$4:$N$138,14,FALSE)</f>
        <v>57.8</v>
      </c>
      <c r="P105" s="132">
        <f t="shared" si="46"/>
        <v>400312.16859960376</v>
      </c>
      <c r="Q105" s="132">
        <f t="shared" si="47"/>
        <v>407863.60710933234</v>
      </c>
      <c r="R105" s="132">
        <f t="shared" si="48"/>
        <v>413200.96308679949</v>
      </c>
      <c r="S105" s="132">
        <f t="shared" si="49"/>
        <v>329523.37585110241</v>
      </c>
      <c r="T105" s="132">
        <f t="shared" si="50"/>
        <v>335739.4634583384</v>
      </c>
      <c r="U105" s="132">
        <f t="shared" si="51"/>
        <v>340132.99355253146</v>
      </c>
      <c r="V105" s="132">
        <f t="shared" si="38"/>
        <v>70788.79274850135</v>
      </c>
      <c r="W105" s="132">
        <f t="shared" si="39"/>
        <v>72124.143650993938</v>
      </c>
      <c r="X105" s="132">
        <f t="shared" si="40"/>
        <v>73067.969534268021</v>
      </c>
      <c r="Y105" s="132">
        <f t="shared" si="41"/>
        <v>215980.90593376331</v>
      </c>
      <c r="Z105" s="138">
        <f t="shared" si="42"/>
        <v>11.931858088899066</v>
      </c>
    </row>
    <row r="106" spans="1:26" outlineLevel="1" x14ac:dyDescent="0.3">
      <c r="A106" s="98" t="s">
        <v>101</v>
      </c>
      <c r="B106" s="132">
        <f>VLOOKUP(A106,Iedz_sk!$B$5:$Y$123,15,FALSE)</f>
        <v>3417</v>
      </c>
      <c r="C106" s="132">
        <f>VLOOKUP(A106,Iedz_sk!$B$5:$Y$123,16,FALSE)</f>
        <v>3351</v>
      </c>
      <c r="D106" s="132">
        <f>VLOOKUP(A106,Iedz_sk!$B$5:$Y$123,17,FALSE)</f>
        <v>3285</v>
      </c>
      <c r="E106" s="133">
        <f>VLOOKUP($A106,IKP!$Q$6:$AC$124,11,FALSE)</f>
        <v>29161.365884708048</v>
      </c>
      <c r="F106" s="133">
        <f>VLOOKUP($A106,IKP!$Q$6:$AC$124,12,FALSE)</f>
        <v>30553.611874089613</v>
      </c>
      <c r="G106" s="133">
        <f>VLOOKUP($A106,IKP!$Q$6:$AC$124,13,FALSE)</f>
        <v>31612.957728948244</v>
      </c>
      <c r="H106" s="132">
        <f>((-0.0000000006)*IKP!$J$5 + 0.0461)*E106</f>
        <v>800.6243087324126</v>
      </c>
      <c r="I106" s="132">
        <f>((-0.0000000006)*IKP!$K$5 + 0.0461)*F106</f>
        <v>809.79504527679217</v>
      </c>
      <c r="J106" s="132">
        <f>((-0.0000000006)*IKP!$L$5 + 0.0461)*G106</f>
        <v>814.33157864050872</v>
      </c>
      <c r="K106" s="132">
        <f t="shared" si="43"/>
        <v>192.14983409577903</v>
      </c>
      <c r="L106" s="132">
        <f t="shared" si="44"/>
        <v>194.35081086643012</v>
      </c>
      <c r="M106" s="132">
        <f t="shared" si="45"/>
        <v>195.43957887372213</v>
      </c>
      <c r="N106" s="137">
        <f>VLOOKUP(A106,NSAmaksa_2021!$A$4:$N$138,12,FALSE)</f>
        <v>83.005999999999986</v>
      </c>
      <c r="O106" s="137">
        <f>VLOOKUP(A106,NSAmaksa_2021!$A$4:$N$138,14,FALSE)</f>
        <v>38.736133333333328</v>
      </c>
      <c r="P106" s="132">
        <f t="shared" si="46"/>
        <v>39873.972822385578</v>
      </c>
      <c r="Q106" s="132">
        <f t="shared" si="47"/>
        <v>40330.708516947234</v>
      </c>
      <c r="R106" s="132">
        <f t="shared" si="48"/>
        <v>40556.644209980426</v>
      </c>
      <c r="S106" s="132">
        <f t="shared" si="49"/>
        <v>31367.525286943317</v>
      </c>
      <c r="T106" s="132">
        <f t="shared" si="50"/>
        <v>31726.824033331828</v>
      </c>
      <c r="U106" s="132">
        <f t="shared" si="51"/>
        <v>31904.560111851271</v>
      </c>
      <c r="V106" s="132">
        <f t="shared" si="38"/>
        <v>8506.4475354422611</v>
      </c>
      <c r="W106" s="132">
        <f t="shared" si="39"/>
        <v>8603.8844836154058</v>
      </c>
      <c r="X106" s="132">
        <f t="shared" si="40"/>
        <v>8652.0840981291549</v>
      </c>
      <c r="Y106" s="132">
        <f t="shared" si="41"/>
        <v>25762.416117186822</v>
      </c>
      <c r="Z106" s="138">
        <f t="shared" si="42"/>
        <v>7.6908219349370848</v>
      </c>
    </row>
    <row r="107" spans="1:26" outlineLevel="1" x14ac:dyDescent="0.3">
      <c r="A107" s="98" t="s">
        <v>102</v>
      </c>
      <c r="B107" s="132">
        <f>VLOOKUP(A107,Iedz_sk!$B$5:$Y$123,15,FALSE)</f>
        <v>4526</v>
      </c>
      <c r="C107" s="132">
        <f>VLOOKUP(A107,Iedz_sk!$B$5:$Y$123,16,FALSE)</f>
        <v>4445</v>
      </c>
      <c r="D107" s="132">
        <f>VLOOKUP(A107,Iedz_sk!$B$5:$Y$123,17,FALSE)</f>
        <v>4365</v>
      </c>
      <c r="E107" s="133">
        <f>VLOOKUP($A107,IKP!$Q$6:$AC$124,11,FALSE)</f>
        <v>43364.354747316575</v>
      </c>
      <c r="F107" s="133">
        <f>VLOOKUP($A107,IKP!$Q$6:$AC$124,12,FALSE)</f>
        <v>45573.035501831844</v>
      </c>
      <c r="G107" s="133">
        <f>VLOOKUP($A107,IKP!$Q$6:$AC$124,13,FALSE)</f>
        <v>47312.162668114252</v>
      </c>
      <c r="H107" s="132">
        <f>((-0.0000000006)*IKP!$J$5 + 0.0461)*E107</f>
        <v>1190.5668849826936</v>
      </c>
      <c r="I107" s="132">
        <f>((-0.0000000006)*IKP!$K$5 + 0.0461)*F107</f>
        <v>1207.8708893629423</v>
      </c>
      <c r="J107" s="132">
        <f>((-0.0000000006)*IKP!$L$5 + 0.0461)*G107</f>
        <v>1218.7340534461225</v>
      </c>
      <c r="K107" s="132">
        <f t="shared" si="43"/>
        <v>285.73605239584646</v>
      </c>
      <c r="L107" s="132">
        <f t="shared" si="44"/>
        <v>289.88901344710615</v>
      </c>
      <c r="M107" s="132">
        <f t="shared" si="45"/>
        <v>292.49617282706942</v>
      </c>
      <c r="N107" s="137">
        <f>VLOOKUP(A107,NSAmaksa_2021!$A$4:$N$138,12,FALSE)</f>
        <v>107.35</v>
      </c>
      <c r="O107" s="137">
        <f>VLOOKUP(A107,NSAmaksa_2021!$A$4:$N$138,14,FALSE)</f>
        <v>50.096666666666664</v>
      </c>
      <c r="P107" s="132">
        <f t="shared" si="46"/>
        <v>76684.413061735293</v>
      </c>
      <c r="Q107" s="132">
        <f t="shared" si="47"/>
        <v>77798.963983867114</v>
      </c>
      <c r="R107" s="132">
        <f t="shared" si="48"/>
        <v>78498.660382464746</v>
      </c>
      <c r="S107" s="132">
        <f t="shared" si="49"/>
        <v>60325.071608565093</v>
      </c>
      <c r="T107" s="132">
        <f t="shared" si="50"/>
        <v>61201.851667308802</v>
      </c>
      <c r="U107" s="132">
        <f t="shared" si="51"/>
        <v>61752.279500872268</v>
      </c>
      <c r="V107" s="132">
        <f t="shared" si="38"/>
        <v>16359.3414531702</v>
      </c>
      <c r="W107" s="132">
        <f t="shared" si="39"/>
        <v>16597.112316558312</v>
      </c>
      <c r="X107" s="132">
        <f t="shared" si="40"/>
        <v>16746.380881592479</v>
      </c>
      <c r="Y107" s="132">
        <f t="shared" si="41"/>
        <v>49702.834651320991</v>
      </c>
      <c r="Z107" s="138">
        <f t="shared" si="42"/>
        <v>11.184922198648707</v>
      </c>
    </row>
    <row r="108" spans="1:26" outlineLevel="1" x14ac:dyDescent="0.3">
      <c r="A108" s="98" t="s">
        <v>103</v>
      </c>
      <c r="B108" s="132">
        <f>VLOOKUP(A108,Iedz_sk!$B$5:$Y$123,15,FALSE)</f>
        <v>11945</v>
      </c>
      <c r="C108" s="132">
        <f>VLOOKUP(A108,Iedz_sk!$B$5:$Y$123,16,FALSE)</f>
        <v>11724</v>
      </c>
      <c r="D108" s="132">
        <f>VLOOKUP(A108,Iedz_sk!$B$5:$Y$123,17,FALSE)</f>
        <v>11503</v>
      </c>
      <c r="E108" s="133">
        <f>VLOOKUP($A108,IKP!$Q$6:$AC$124,11,FALSE)</f>
        <v>112800.07406026185</v>
      </c>
      <c r="F108" s="133">
        <f>VLOOKUP($A108,IKP!$Q$6:$AC$124,12,FALSE)</f>
        <v>119118.6252588038</v>
      </c>
      <c r="G108" s="133">
        <f>VLOOKUP($A108,IKP!$Q$6:$AC$124,13,FALSE)</f>
        <v>124259.28080294872</v>
      </c>
      <c r="H108" s="132">
        <f>((-0.0000000006)*IKP!$J$5 + 0.0461)*E108</f>
        <v>3096.9221975579708</v>
      </c>
      <c r="I108" s="132">
        <f>((-0.0000000006)*IKP!$K$5 + 0.0461)*F108</f>
        <v>3157.1282941040658</v>
      </c>
      <c r="J108" s="132">
        <f>((-0.0000000006)*IKP!$L$5 + 0.0461)*G108</f>
        <v>3200.8474867993946</v>
      </c>
      <c r="K108" s="132">
        <f t="shared" si="43"/>
        <v>743.26132741391302</v>
      </c>
      <c r="L108" s="132">
        <f t="shared" si="44"/>
        <v>757.71079058497583</v>
      </c>
      <c r="M108" s="132">
        <f t="shared" si="45"/>
        <v>768.20339683185477</v>
      </c>
      <c r="N108" s="137">
        <f>VLOOKUP(A108,NSAmaksa_2021!$A$4:$N$138,12,FALSE)</f>
        <v>123.84350000000001</v>
      </c>
      <c r="O108" s="137">
        <f>VLOOKUP(A108,NSAmaksa_2021!$A$4:$N$138,14,FALSE)</f>
        <v>57.793633333333325</v>
      </c>
      <c r="P108" s="132">
        <f t="shared" si="46"/>
        <v>230120.21050396233</v>
      </c>
      <c r="Q108" s="132">
        <f t="shared" si="47"/>
        <v>234593.89073452613</v>
      </c>
      <c r="R108" s="132">
        <f t="shared" si="48"/>
        <v>237842.49343886451</v>
      </c>
      <c r="S108" s="132">
        <f t="shared" si="49"/>
        <v>181027.89892978367</v>
      </c>
      <c r="T108" s="132">
        <f t="shared" si="50"/>
        <v>184547.19404449387</v>
      </c>
      <c r="U108" s="132">
        <f t="shared" si="51"/>
        <v>187102.76150524005</v>
      </c>
      <c r="V108" s="132">
        <f t="shared" si="38"/>
        <v>49092.311574178661</v>
      </c>
      <c r="W108" s="132">
        <f t="shared" si="39"/>
        <v>50046.696690032259</v>
      </c>
      <c r="X108" s="132">
        <f t="shared" si="40"/>
        <v>50739.731933624455</v>
      </c>
      <c r="Y108" s="132">
        <f t="shared" si="41"/>
        <v>149878.74019783537</v>
      </c>
      <c r="Z108" s="138">
        <f t="shared" si="42"/>
        <v>12.789601798927485</v>
      </c>
    </row>
    <row r="109" spans="1:26" outlineLevel="1" x14ac:dyDescent="0.3">
      <c r="A109" s="98" t="s">
        <v>104</v>
      </c>
      <c r="B109" s="132">
        <f>VLOOKUP(A109,Iedz_sk!$B$5:$Y$123,15,FALSE)</f>
        <v>12201</v>
      </c>
      <c r="C109" s="132">
        <f>VLOOKUP(A109,Iedz_sk!$B$5:$Y$123,16,FALSE)</f>
        <v>12096</v>
      </c>
      <c r="D109" s="132">
        <f>VLOOKUP(A109,Iedz_sk!$B$5:$Y$123,17,FALSE)</f>
        <v>11992</v>
      </c>
      <c r="E109" s="133">
        <f>VLOOKUP($A109,IKP!$Q$6:$AC$124,11,FALSE)</f>
        <v>158285.03511065469</v>
      </c>
      <c r="F109" s="133">
        <f>VLOOKUP($A109,IKP!$Q$6:$AC$124,12,FALSE)</f>
        <v>165436.22134007161</v>
      </c>
      <c r="G109" s="133">
        <f>VLOOKUP($A109,IKP!$Q$6:$AC$124,13,FALSE)</f>
        <v>170774.74005469368</v>
      </c>
      <c r="H109" s="132">
        <f>((-0.0000000006)*IKP!$J$5 + 0.0461)*E109</f>
        <v>4345.7102564804063</v>
      </c>
      <c r="I109" s="132">
        <f>((-0.0000000006)*IKP!$K$5 + 0.0461)*F109</f>
        <v>4384.7330686331989</v>
      </c>
      <c r="J109" s="132">
        <f>((-0.0000000006)*IKP!$L$5 + 0.0461)*G109</f>
        <v>4399.0589192265361</v>
      </c>
      <c r="K109" s="132">
        <f t="shared" si="43"/>
        <v>1042.9704615552976</v>
      </c>
      <c r="L109" s="132">
        <f t="shared" si="44"/>
        <v>1052.3359364719677</v>
      </c>
      <c r="M109" s="132">
        <f t="shared" si="45"/>
        <v>1055.7741406143687</v>
      </c>
      <c r="N109" s="137">
        <f>VLOOKUP(A109,NSAmaksa_2021!$A$4:$N$138,12,FALSE)</f>
        <v>93.45</v>
      </c>
      <c r="O109" s="137">
        <f>VLOOKUP(A109,NSAmaksa_2021!$A$4:$N$138,14,FALSE)</f>
        <v>43.61</v>
      </c>
      <c r="P109" s="132">
        <f t="shared" si="46"/>
        <v>243663.97408085639</v>
      </c>
      <c r="Q109" s="132">
        <f t="shared" si="47"/>
        <v>245851.98315826347</v>
      </c>
      <c r="R109" s="132">
        <f t="shared" si="48"/>
        <v>246655.23360103188</v>
      </c>
      <c r="S109" s="132">
        <f t="shared" si="49"/>
        <v>191682.32627694035</v>
      </c>
      <c r="T109" s="132">
        <f t="shared" si="50"/>
        <v>193403.56008450058</v>
      </c>
      <c r="U109" s="132">
        <f t="shared" si="51"/>
        <v>194035.45043281175</v>
      </c>
      <c r="V109" s="132">
        <f t="shared" si="38"/>
        <v>51981.647803916043</v>
      </c>
      <c r="W109" s="132">
        <f t="shared" si="39"/>
        <v>52448.423073762882</v>
      </c>
      <c r="X109" s="132">
        <f t="shared" si="40"/>
        <v>52619.783168220136</v>
      </c>
      <c r="Y109" s="132">
        <f t="shared" si="41"/>
        <v>157049.85404589906</v>
      </c>
      <c r="Z109" s="138">
        <f t="shared" si="42"/>
        <v>12.984362601544312</v>
      </c>
    </row>
    <row r="110" spans="1:26" outlineLevel="1" x14ac:dyDescent="0.3">
      <c r="A110" s="98" t="s">
        <v>105</v>
      </c>
      <c r="B110" s="132">
        <f>VLOOKUP(A110,Iedz_sk!$B$5:$Y$123,15,FALSE)</f>
        <v>2892</v>
      </c>
      <c r="C110" s="132">
        <f>VLOOKUP(A110,Iedz_sk!$B$5:$Y$123,16,FALSE)</f>
        <v>2758</v>
      </c>
      <c r="D110" s="132">
        <f>VLOOKUP(A110,Iedz_sk!$B$5:$Y$123,17,FALSE)</f>
        <v>2624</v>
      </c>
      <c r="E110" s="133">
        <f>VLOOKUP($A110,IKP!$Q$6:$AC$124,11,FALSE)</f>
        <v>27309.988629742758</v>
      </c>
      <c r="F110" s="133">
        <f>VLOOKUP($A110,IKP!$Q$6:$AC$124,12,FALSE)</f>
        <v>28021.935215266196</v>
      </c>
      <c r="G110" s="133">
        <f>VLOOKUP($A110,IKP!$Q$6:$AC$124,13,FALSE)</f>
        <v>28345.331898368899</v>
      </c>
      <c r="H110" s="132">
        <f>((-0.0000000006)*IKP!$J$5 + 0.0461)*E110</f>
        <v>749.79480915342413</v>
      </c>
      <c r="I110" s="132">
        <f>((-0.0000000006)*IKP!$K$5 + 0.0461)*F110</f>
        <v>742.69531176552482</v>
      </c>
      <c r="J110" s="132">
        <f>((-0.0000000006)*IKP!$L$5 + 0.0461)*G110</f>
        <v>730.15941974803195</v>
      </c>
      <c r="K110" s="132">
        <f t="shared" si="43"/>
        <v>179.9507541968218</v>
      </c>
      <c r="L110" s="132">
        <f t="shared" si="44"/>
        <v>178.24687482372596</v>
      </c>
      <c r="M110" s="132">
        <f t="shared" si="45"/>
        <v>175.23826073952768</v>
      </c>
      <c r="N110" s="137">
        <f>VLOOKUP(A110,NSAmaksa_2021!$A$4:$N$138,12,FALSE)</f>
        <v>123.84350000000001</v>
      </c>
      <c r="O110" s="137">
        <f>VLOOKUP(A110,NSAmaksa_2021!$A$4:$N$138,14,FALSE)</f>
        <v>57.793633333333325</v>
      </c>
      <c r="P110" s="132">
        <f t="shared" si="46"/>
        <v>55714.32806843525</v>
      </c>
      <c r="Q110" s="132">
        <f t="shared" si="47"/>
        <v>55186.792105580265</v>
      </c>
      <c r="R110" s="132">
        <f t="shared" si="48"/>
        <v>54255.29885973924</v>
      </c>
      <c r="S110" s="132">
        <f t="shared" si="49"/>
        <v>43828.604747169054</v>
      </c>
      <c r="T110" s="132">
        <f t="shared" si="50"/>
        <v>43413.609789723138</v>
      </c>
      <c r="U110" s="132">
        <f t="shared" si="51"/>
        <v>42680.835102994868</v>
      </c>
      <c r="V110" s="132">
        <f t="shared" si="38"/>
        <v>11885.723321266196</v>
      </c>
      <c r="W110" s="132">
        <f t="shared" si="39"/>
        <v>11773.182315857128</v>
      </c>
      <c r="X110" s="132">
        <f t="shared" si="40"/>
        <v>11574.463756744371</v>
      </c>
      <c r="Y110" s="132">
        <f t="shared" si="41"/>
        <v>35233.369393867695</v>
      </c>
      <c r="Z110" s="138">
        <f t="shared" si="42"/>
        <v>12.789601798927485</v>
      </c>
    </row>
    <row r="111" spans="1:26" outlineLevel="1" x14ac:dyDescent="0.3">
      <c r="A111" s="98" t="s">
        <v>106</v>
      </c>
      <c r="B111" s="132">
        <f>VLOOKUP(A111,Iedz_sk!$B$5:$Y$123,15,FALSE)</f>
        <v>27391</v>
      </c>
      <c r="C111" s="132">
        <f>VLOOKUP(A111,Iedz_sk!$B$5:$Y$123,16,FALSE)</f>
        <v>26899</v>
      </c>
      <c r="D111" s="132">
        <f>VLOOKUP(A111,Iedz_sk!$B$5:$Y$123,17,FALSE)</f>
        <v>26407</v>
      </c>
      <c r="E111" s="133">
        <f>VLOOKUP($A111,IKP!$Q$6:$AC$124,11,FALSE)</f>
        <v>262437.70236052771</v>
      </c>
      <c r="F111" s="133">
        <f>VLOOKUP($A111,IKP!$Q$6:$AC$124,12,FALSE)</f>
        <v>275786.07018307643</v>
      </c>
      <c r="G111" s="133">
        <f>VLOOKUP($A111,IKP!$Q$6:$AC$124,13,FALSE)</f>
        <v>286225.03541280481</v>
      </c>
      <c r="H111" s="132">
        <f>((-0.0000000006)*IKP!$J$5 + 0.0461)*E111</f>
        <v>7205.2181941142208</v>
      </c>
      <c r="I111" s="132">
        <f>((-0.0000000006)*IKP!$K$5 + 0.0461)*F111</f>
        <v>7309.4531052809416</v>
      </c>
      <c r="J111" s="132">
        <f>((-0.0000000006)*IKP!$L$5 + 0.0461)*G111</f>
        <v>7372.9920158881459</v>
      </c>
      <c r="K111" s="132">
        <f t="shared" si="43"/>
        <v>1729.252366587413</v>
      </c>
      <c r="L111" s="132">
        <f t="shared" si="44"/>
        <v>1754.2687452674261</v>
      </c>
      <c r="M111" s="132">
        <f t="shared" si="45"/>
        <v>1769.518083813155</v>
      </c>
      <c r="N111" s="137">
        <f>VLOOKUP(A111,NSAmaksa_2021!$A$4:$N$138,12,FALSE)</f>
        <v>86.05</v>
      </c>
      <c r="O111" s="137">
        <f>VLOOKUP(A111,NSAmaksa_2021!$A$4:$N$138,14,FALSE)</f>
        <v>63.533333333333331</v>
      </c>
      <c r="P111" s="132">
        <f t="shared" si="46"/>
        <v>372005.41536211723</v>
      </c>
      <c r="Q111" s="132">
        <f t="shared" si="47"/>
        <v>377387.06382565497</v>
      </c>
      <c r="R111" s="132">
        <f t="shared" si="48"/>
        <v>380667.57778030494</v>
      </c>
      <c r="S111" s="132">
        <f t="shared" si="49"/>
        <v>333068.41624112392</v>
      </c>
      <c r="T111" s="132">
        <f t="shared" si="50"/>
        <v>337886.77924471674</v>
      </c>
      <c r="U111" s="132">
        <f t="shared" si="51"/>
        <v>340823.92892644543</v>
      </c>
      <c r="V111" s="132">
        <f t="shared" si="38"/>
        <v>38936.999120993307</v>
      </c>
      <c r="W111" s="132">
        <f t="shared" si="39"/>
        <v>39500.284580938227</v>
      </c>
      <c r="X111" s="132">
        <f t="shared" si="40"/>
        <v>39843.648853859515</v>
      </c>
      <c r="Y111" s="132">
        <f t="shared" si="41"/>
        <v>118280.93255579105</v>
      </c>
      <c r="Z111" s="138">
        <f t="shared" si="42"/>
        <v>4.3988209974308363</v>
      </c>
    </row>
    <row r="112" spans="1:26" outlineLevel="1" x14ac:dyDescent="0.3">
      <c r="A112" s="98" t="s">
        <v>107</v>
      </c>
      <c r="B112" s="132">
        <f>VLOOKUP(A112,Iedz_sk!$B$5:$Y$123,15,FALSE)</f>
        <v>3273</v>
      </c>
      <c r="C112" s="132">
        <f>VLOOKUP(A112,Iedz_sk!$B$5:$Y$123,16,FALSE)</f>
        <v>3233</v>
      </c>
      <c r="D112" s="132">
        <f>VLOOKUP(A112,Iedz_sk!$B$5:$Y$123,17,FALSE)</f>
        <v>3192</v>
      </c>
      <c r="E112" s="133">
        <f>VLOOKUP($A112,IKP!$Q$6:$AC$124,11,FALSE)</f>
        <v>27932.440895712447</v>
      </c>
      <c r="F112" s="133">
        <f>VLOOKUP($A112,IKP!$Q$6:$AC$124,12,FALSE)</f>
        <v>29477.71626049887</v>
      </c>
      <c r="G112" s="133">
        <f>VLOOKUP($A112,IKP!$Q$6:$AC$124,13,FALSE)</f>
        <v>30717.979016987152</v>
      </c>
      <c r="H112" s="132">
        <f>((-0.0000000006)*IKP!$J$5 + 0.0461)*E112</f>
        <v>766.88421494913268</v>
      </c>
      <c r="I112" s="132">
        <f>((-0.0000000006)*IKP!$K$5 + 0.0461)*F112</f>
        <v>781.27943341685136</v>
      </c>
      <c r="J112" s="132">
        <f>((-0.0000000006)*IKP!$L$5 + 0.0461)*G112</f>
        <v>791.27744262420208</v>
      </c>
      <c r="K112" s="132">
        <f t="shared" si="43"/>
        <v>184.05221158779185</v>
      </c>
      <c r="L112" s="132">
        <f t="shared" si="44"/>
        <v>187.50706402004434</v>
      </c>
      <c r="M112" s="132">
        <f t="shared" si="45"/>
        <v>189.90658622980848</v>
      </c>
      <c r="N112" s="137">
        <f>VLOOKUP(A112,NSAmaksa_2021!$A$4:$N$138,12,FALSE)</f>
        <v>99.4</v>
      </c>
      <c r="O112" s="137">
        <f>VLOOKUP(A112,NSAmaksa_2021!$A$4:$N$138,14,FALSE)</f>
        <v>46.386666666666663</v>
      </c>
      <c r="P112" s="132">
        <f t="shared" si="46"/>
        <v>45736.974579566275</v>
      </c>
      <c r="Q112" s="132">
        <f t="shared" si="47"/>
        <v>46595.505408981015</v>
      </c>
      <c r="R112" s="132">
        <f t="shared" si="48"/>
        <v>47191.786678107412</v>
      </c>
      <c r="S112" s="132">
        <f t="shared" si="49"/>
        <v>35979.753335925467</v>
      </c>
      <c r="T112" s="132">
        <f t="shared" si="50"/>
        <v>36655.130921731732</v>
      </c>
      <c r="U112" s="132">
        <f t="shared" si="51"/>
        <v>37124.205520111165</v>
      </c>
      <c r="V112" s="132">
        <f t="shared" si="38"/>
        <v>9757.2212436408081</v>
      </c>
      <c r="W112" s="132">
        <f t="shared" si="39"/>
        <v>9940.3744872492825</v>
      </c>
      <c r="X112" s="132">
        <f t="shared" si="40"/>
        <v>10067.581157996246</v>
      </c>
      <c r="Y112" s="132">
        <f t="shared" si="41"/>
        <v>29765.176888886337</v>
      </c>
      <c r="Z112" s="138">
        <f t="shared" si="42"/>
        <v>9.2097884530364862</v>
      </c>
    </row>
    <row r="113" spans="1:26" outlineLevel="1" x14ac:dyDescent="0.3">
      <c r="A113" s="98" t="s">
        <v>108</v>
      </c>
      <c r="B113" s="132">
        <f>VLOOKUP(A113,Iedz_sk!$B$5:$Y$123,15,FALSE)</f>
        <v>27614</v>
      </c>
      <c r="C113" s="132">
        <f>VLOOKUP(A113,Iedz_sk!$B$5:$Y$123,16,FALSE)</f>
        <v>27160</v>
      </c>
      <c r="D113" s="132">
        <f>VLOOKUP(A113,Iedz_sk!$B$5:$Y$123,17,FALSE)</f>
        <v>26707</v>
      </c>
      <c r="E113" s="133">
        <f>VLOOKUP($A113,IKP!$Q$6:$AC$124,11,FALSE)</f>
        <v>358239.73113233491</v>
      </c>
      <c r="F113" s="133">
        <f>VLOOKUP($A113,IKP!$Q$6:$AC$124,12,FALSE)</f>
        <v>371465.58958303119</v>
      </c>
      <c r="G113" s="133">
        <f>VLOOKUP($A113,IKP!$Q$6:$AC$124,13,FALSE)</f>
        <v>380326.96653107938</v>
      </c>
      <c r="H113" s="132">
        <f>((-0.0000000006)*IKP!$J$5 + 0.0461)*E113</f>
        <v>9835.4596362961984</v>
      </c>
      <c r="I113" s="132">
        <f>((-0.0000000006)*IKP!$K$5 + 0.0461)*F113</f>
        <v>9845.3497142921369</v>
      </c>
      <c r="J113" s="132">
        <f>((-0.0000000006)*IKP!$L$5 + 0.0461)*G113</f>
        <v>9797.0035486810448</v>
      </c>
      <c r="K113" s="132">
        <f t="shared" si="43"/>
        <v>2360.5103127110879</v>
      </c>
      <c r="L113" s="132">
        <f t="shared" si="44"/>
        <v>2362.8839314301131</v>
      </c>
      <c r="M113" s="132">
        <f t="shared" si="45"/>
        <v>2351.2808516834507</v>
      </c>
      <c r="N113" s="137">
        <f>VLOOKUP(A113,NSAmaksa_2021!$A$4:$N$138,12,FALSE)</f>
        <v>86.05</v>
      </c>
      <c r="O113" s="137">
        <f>VLOOKUP(A113,NSAmaksa_2021!$A$4:$N$138,14,FALSE)</f>
        <v>63.533333333333331</v>
      </c>
      <c r="P113" s="132">
        <f t="shared" si="46"/>
        <v>507804.78102197271</v>
      </c>
      <c r="Q113" s="132">
        <f t="shared" si="47"/>
        <v>508315.40574890299</v>
      </c>
      <c r="R113" s="132">
        <f t="shared" si="48"/>
        <v>505819.29321840231</v>
      </c>
      <c r="S113" s="132">
        <f t="shared" si="49"/>
        <v>454653.95714742807</v>
      </c>
      <c r="T113" s="132">
        <f t="shared" si="50"/>
        <v>455111.13589286827</v>
      </c>
      <c r="U113" s="132">
        <f t="shared" si="51"/>
        <v>452876.28604132996</v>
      </c>
      <c r="V113" s="132">
        <f t="shared" si="38"/>
        <v>53150.823874544643</v>
      </c>
      <c r="W113" s="132">
        <f t="shared" si="39"/>
        <v>53204.26985603472</v>
      </c>
      <c r="X113" s="132">
        <f t="shared" si="40"/>
        <v>52943.007177072344</v>
      </c>
      <c r="Y113" s="132">
        <f t="shared" si="41"/>
        <v>159298.10090765171</v>
      </c>
      <c r="Z113" s="138">
        <f t="shared" si="42"/>
        <v>5.8660626921770866</v>
      </c>
    </row>
    <row r="114" spans="1:26" outlineLevel="1" x14ac:dyDescent="0.3">
      <c r="A114" s="98" t="s">
        <v>109</v>
      </c>
      <c r="B114" s="132">
        <f>VLOOKUP(A114,Iedz_sk!$B$5:$Y$123,15,FALSE)</f>
        <v>2216</v>
      </c>
      <c r="C114" s="132">
        <f>VLOOKUP(A114,Iedz_sk!$B$5:$Y$123,16,FALSE)</f>
        <v>2181</v>
      </c>
      <c r="D114" s="132">
        <f>VLOOKUP(A114,Iedz_sk!$B$5:$Y$123,17,FALSE)</f>
        <v>2145</v>
      </c>
      <c r="E114" s="133">
        <f>VLOOKUP($A114,IKP!$Q$6:$AC$124,11,FALSE)</f>
        <v>21231.862598332642</v>
      </c>
      <c r="F114" s="133">
        <f>VLOOKUP($A114,IKP!$Q$6:$AC$124,12,FALSE)</f>
        <v>22361.032717546739</v>
      </c>
      <c r="G114" s="133">
        <f>VLOOKUP($A114,IKP!$Q$6:$AC$124,13,FALSE)</f>
        <v>23249.619455465079</v>
      </c>
      <c r="H114" s="132">
        <f>((-0.0000000006)*IKP!$J$5 + 0.0461)*E114</f>
        <v>582.9200656477351</v>
      </c>
      <c r="I114" s="132">
        <f>((-0.0000000006)*IKP!$K$5 + 0.0461)*F114</f>
        <v>592.65835988764388</v>
      </c>
      <c r="J114" s="132">
        <f>((-0.0000000006)*IKP!$L$5 + 0.0461)*G114</f>
        <v>598.89680289620458</v>
      </c>
      <c r="K114" s="132">
        <f t="shared" si="43"/>
        <v>139.90081575545642</v>
      </c>
      <c r="L114" s="132">
        <f t="shared" si="44"/>
        <v>142.23800637303455</v>
      </c>
      <c r="M114" s="132">
        <f t="shared" si="45"/>
        <v>143.73523269508908</v>
      </c>
      <c r="N114" s="137">
        <f>VLOOKUP(A114,NSAmaksa_2021!$A$4:$N$138,12,FALSE)</f>
        <v>85.25</v>
      </c>
      <c r="O114" s="137">
        <f>VLOOKUP(A114,NSAmaksa_2021!$A$4:$N$138,14,FALSE)</f>
        <v>39.783333333333331</v>
      </c>
      <c r="P114" s="132">
        <f t="shared" si="46"/>
        <v>29816.361357881648</v>
      </c>
      <c r="Q114" s="132">
        <f t="shared" si="47"/>
        <v>30314.475108252984</v>
      </c>
      <c r="R114" s="132">
        <f t="shared" si="48"/>
        <v>30633.571468140864</v>
      </c>
      <c r="S114" s="132">
        <f t="shared" si="49"/>
        <v>23455.537601533561</v>
      </c>
      <c r="T114" s="132">
        <f t="shared" si="50"/>
        <v>23847.387085159015</v>
      </c>
      <c r="U114" s="132">
        <f t="shared" si="51"/>
        <v>24098.409554937476</v>
      </c>
      <c r="V114" s="132">
        <f t="shared" si="38"/>
        <v>6360.823756348087</v>
      </c>
      <c r="W114" s="132">
        <f t="shared" si="39"/>
        <v>6467.0880230939692</v>
      </c>
      <c r="X114" s="132">
        <f t="shared" si="40"/>
        <v>6535.1619132033884</v>
      </c>
      <c r="Y114" s="132">
        <f t="shared" si="41"/>
        <v>19363.073692645445</v>
      </c>
      <c r="Z114" s="138">
        <f t="shared" si="42"/>
        <v>8.8822973212370986</v>
      </c>
    </row>
    <row r="115" spans="1:26" outlineLevel="1" x14ac:dyDescent="0.3">
      <c r="A115" s="98" t="s">
        <v>110</v>
      </c>
      <c r="B115" s="132">
        <f>VLOOKUP(A115,Iedz_sk!$B$5:$Y$123,15,FALSE)</f>
        <v>7596</v>
      </c>
      <c r="C115" s="132">
        <f>VLOOKUP(A115,Iedz_sk!$B$5:$Y$123,16,FALSE)</f>
        <v>7345</v>
      </c>
      <c r="D115" s="132">
        <f>VLOOKUP(A115,Iedz_sk!$B$5:$Y$123,17,FALSE)</f>
        <v>7094</v>
      </c>
      <c r="E115" s="133">
        <f>VLOOKUP($A115,IKP!$Q$6:$AC$124,11,FALSE)</f>
        <v>71731.214948660447</v>
      </c>
      <c r="F115" s="133">
        <f>VLOOKUP($A115,IKP!$Q$6:$AC$124,12,FALSE)</f>
        <v>74626.944944209652</v>
      </c>
      <c r="G115" s="133">
        <f>VLOOKUP($A115,IKP!$Q$6:$AC$124,13,FALSE)</f>
        <v>76631.777624629933</v>
      </c>
      <c r="H115" s="132">
        <f>((-0.0000000006)*IKP!$J$5 + 0.0461)*E115</f>
        <v>1969.3780671955085</v>
      </c>
      <c r="I115" s="132">
        <f>((-0.0000000006)*IKP!$K$5 + 0.0461)*F115</f>
        <v>1977.9177175191371</v>
      </c>
      <c r="J115" s="132">
        <f>((-0.0000000006)*IKP!$L$5 + 0.0461)*G115</f>
        <v>1973.990443480388</v>
      </c>
      <c r="K115" s="132">
        <f t="shared" si="43"/>
        <v>472.65073612692203</v>
      </c>
      <c r="L115" s="132">
        <f t="shared" si="44"/>
        <v>474.70025220459291</v>
      </c>
      <c r="M115" s="132">
        <f t="shared" si="45"/>
        <v>473.75770643529313</v>
      </c>
      <c r="N115" s="137">
        <f>VLOOKUP(A115,NSAmaksa_2021!$A$4:$N$138,12,FALSE)</f>
        <v>123.84350000000001</v>
      </c>
      <c r="O115" s="137">
        <f>VLOOKUP(A115,NSAmaksa_2021!$A$4:$N$138,14,FALSE)</f>
        <v>57.793633333333325</v>
      </c>
      <c r="P115" s="132">
        <f t="shared" si="46"/>
        <v>146336.80359883618</v>
      </c>
      <c r="Q115" s="132">
        <f t="shared" si="47"/>
        <v>146971.35170974876</v>
      </c>
      <c r="R115" s="132">
        <f t="shared" si="48"/>
        <v>146679.53129229808</v>
      </c>
      <c r="S115" s="132">
        <f t="shared" si="49"/>
        <v>115118.28549775112</v>
      </c>
      <c r="T115" s="132">
        <f t="shared" si="50"/>
        <v>115617.46334500235</v>
      </c>
      <c r="U115" s="132">
        <f t="shared" si="51"/>
        <v>115387.89794994115</v>
      </c>
      <c r="V115" s="132">
        <f t="shared" si="38"/>
        <v>31218.518101085065</v>
      </c>
      <c r="W115" s="132">
        <f t="shared" si="39"/>
        <v>31353.88836474641</v>
      </c>
      <c r="X115" s="132">
        <f t="shared" si="40"/>
        <v>31291.63334235693</v>
      </c>
      <c r="Y115" s="132">
        <f t="shared" si="41"/>
        <v>93864.039808188405</v>
      </c>
      <c r="Z115" s="138">
        <f t="shared" si="42"/>
        <v>12.789601798927482</v>
      </c>
    </row>
    <row r="116" spans="1:26" outlineLevel="1" x14ac:dyDescent="0.3">
      <c r="A116" s="98" t="s">
        <v>111</v>
      </c>
      <c r="B116" s="132">
        <f>VLOOKUP(A116,Iedz_sk!$B$5:$Y$123,15,FALSE)</f>
        <v>2945</v>
      </c>
      <c r="C116" s="132">
        <f>VLOOKUP(A116,Iedz_sk!$B$5:$Y$123,16,FALSE)</f>
        <v>2880</v>
      </c>
      <c r="D116" s="132">
        <f>VLOOKUP(A116,Iedz_sk!$B$5:$Y$123,17,FALSE)</f>
        <v>2815</v>
      </c>
      <c r="E116" s="133">
        <f>VLOOKUP($A116,IKP!$Q$6:$AC$124,11,FALSE)</f>
        <v>27810.482888863218</v>
      </c>
      <c r="F116" s="133">
        <f>VLOOKUP($A116,IKP!$Q$6:$AC$124,12,FALSE)</f>
        <v>29261.48419868261</v>
      </c>
      <c r="G116" s="133">
        <f>VLOOKUP($A116,IKP!$Q$6:$AC$124,13,FALSE)</f>
        <v>30408.578237007794</v>
      </c>
      <c r="H116" s="132">
        <f>((-0.0000000006)*IKP!$J$5 + 0.0461)*E116</f>
        <v>763.53586201826909</v>
      </c>
      <c r="I116" s="132">
        <f>((-0.0000000006)*IKP!$K$5 + 0.0461)*F116</f>
        <v>775.54840387407955</v>
      </c>
      <c r="J116" s="132">
        <f>((-0.0000000006)*IKP!$L$5 + 0.0461)*G116</f>
        <v>783.30745677999619</v>
      </c>
      <c r="K116" s="132">
        <f t="shared" si="43"/>
        <v>183.2486068843846</v>
      </c>
      <c r="L116" s="132">
        <f t="shared" si="44"/>
        <v>186.13161692977911</v>
      </c>
      <c r="M116" s="132">
        <f t="shared" si="45"/>
        <v>187.99378962719911</v>
      </c>
      <c r="N116" s="137">
        <f>VLOOKUP(A116,NSAmaksa_2021!$A$4:$N$138,12,FALSE)</f>
        <v>99.05</v>
      </c>
      <c r="O116" s="137">
        <f>VLOOKUP(A116,NSAmaksa_2021!$A$4:$N$138,14,FALSE)</f>
        <v>46.223333333333329</v>
      </c>
      <c r="P116" s="132">
        <f t="shared" si="46"/>
        <v>45376.936279745729</v>
      </c>
      <c r="Q116" s="132">
        <f t="shared" si="47"/>
        <v>46090.841642236541</v>
      </c>
      <c r="R116" s="132">
        <f t="shared" si="48"/>
        <v>46551.962156435169</v>
      </c>
      <c r="S116" s="132">
        <f t="shared" si="49"/>
        <v>35696.523206733305</v>
      </c>
      <c r="T116" s="132">
        <f t="shared" si="50"/>
        <v>36258.128758559411</v>
      </c>
      <c r="U116" s="132">
        <f t="shared" si="51"/>
        <v>36620.876896395668</v>
      </c>
      <c r="V116" s="132">
        <f t="shared" si="38"/>
        <v>9680.4130730124234</v>
      </c>
      <c r="W116" s="132">
        <f t="shared" si="39"/>
        <v>9832.7128836771299</v>
      </c>
      <c r="X116" s="132">
        <f t="shared" si="40"/>
        <v>9931.085260039501</v>
      </c>
      <c r="Y116" s="132">
        <f t="shared" si="41"/>
        <v>29444.211216729054</v>
      </c>
      <c r="Z116" s="138">
        <f t="shared" si="42"/>
        <v>10.229120286359532</v>
      </c>
    </row>
    <row r="117" spans="1:26" outlineLevel="1" x14ac:dyDescent="0.3">
      <c r="A117" s="98" t="s">
        <v>112</v>
      </c>
      <c r="B117" s="132">
        <f>VLOOKUP(A117,Iedz_sk!$B$5:$Y$123,15,FALSE)</f>
        <v>1754</v>
      </c>
      <c r="C117" s="132">
        <f>VLOOKUP(A117,Iedz_sk!$B$5:$Y$123,16,FALSE)</f>
        <v>1724</v>
      </c>
      <c r="D117" s="132">
        <f>VLOOKUP(A117,Iedz_sk!$B$5:$Y$123,17,FALSE)</f>
        <v>1695</v>
      </c>
      <c r="E117" s="133">
        <f>VLOOKUP($A117,IKP!$Q$6:$AC$124,11,FALSE)</f>
        <v>11534.130738121357</v>
      </c>
      <c r="F117" s="133">
        <f>VLOOKUP($A117,IKP!$Q$6:$AC$124,12,FALSE)</f>
        <v>12194.845557130067</v>
      </c>
      <c r="G117" s="133">
        <f>VLOOKUP($A117,IKP!$Q$6:$AC$124,13,FALSE)</f>
        <v>12744.61508861933</v>
      </c>
      <c r="H117" s="132">
        <f>((-0.0000000006)*IKP!$J$5 + 0.0461)*E117</f>
        <v>316.66916719700617</v>
      </c>
      <c r="I117" s="132">
        <f>((-0.0000000006)*IKP!$K$5 + 0.0461)*F117</f>
        <v>323.21303127026385</v>
      </c>
      <c r="J117" s="132">
        <f>((-0.0000000006)*IKP!$L$5 + 0.0461)*G117</f>
        <v>328.2939424164507</v>
      </c>
      <c r="K117" s="132">
        <f t="shared" si="43"/>
        <v>76.000600127281487</v>
      </c>
      <c r="L117" s="132">
        <f t="shared" si="44"/>
        <v>77.571127504863327</v>
      </c>
      <c r="M117" s="132">
        <f t="shared" si="45"/>
        <v>78.790546179948166</v>
      </c>
      <c r="N117" s="137">
        <f>VLOOKUP(A117,NSAmaksa_2021!$A$4:$N$138,12,FALSE)</f>
        <v>143.69999999999999</v>
      </c>
      <c r="O117" s="137">
        <f>VLOOKUP(A117,NSAmaksa_2021!$A$4:$N$138,14,FALSE)</f>
        <v>67.059999999999988</v>
      </c>
      <c r="P117" s="132">
        <f t="shared" si="46"/>
        <v>27303.215595725873</v>
      </c>
      <c r="Q117" s="132">
        <f t="shared" si="47"/>
        <v>27867.427556122144</v>
      </c>
      <c r="R117" s="132">
        <f t="shared" si="48"/>
        <v>28305.503715146377</v>
      </c>
      <c r="S117" s="132">
        <f t="shared" si="49"/>
        <v>21478.529601971015</v>
      </c>
      <c r="T117" s="132">
        <f t="shared" si="50"/>
        <v>21922.376344149419</v>
      </c>
      <c r="U117" s="132">
        <f t="shared" si="51"/>
        <v>22266.996255915146</v>
      </c>
      <c r="V117" s="132">
        <f t="shared" si="38"/>
        <v>5824.6859937548579</v>
      </c>
      <c r="W117" s="132">
        <f t="shared" si="39"/>
        <v>5945.0512119727246</v>
      </c>
      <c r="X117" s="132">
        <f t="shared" si="40"/>
        <v>6038.5074592312303</v>
      </c>
      <c r="Y117" s="132">
        <f t="shared" si="41"/>
        <v>17808.244664958813</v>
      </c>
      <c r="Z117" s="138">
        <f t="shared" si="42"/>
        <v>10.331748442063626</v>
      </c>
    </row>
    <row r="118" spans="1:26" outlineLevel="1" x14ac:dyDescent="0.3">
      <c r="A118" s="98" t="s">
        <v>113</v>
      </c>
      <c r="B118" s="132">
        <f>VLOOKUP(A118,Iedz_sk!$B$5:$Y$123,15,FALSE)</f>
        <v>3614</v>
      </c>
      <c r="C118" s="132">
        <f>VLOOKUP(A118,Iedz_sk!$B$5:$Y$123,16,FALSE)</f>
        <v>3506</v>
      </c>
      <c r="D118" s="132">
        <f>VLOOKUP(A118,Iedz_sk!$B$5:$Y$123,17,FALSE)</f>
        <v>3398</v>
      </c>
      <c r="E118" s="133">
        <f>VLOOKUP($A118,IKP!$Q$6:$AC$124,11,FALSE)</f>
        <v>34128.042499270516</v>
      </c>
      <c r="F118" s="133">
        <f>VLOOKUP($A118,IKP!$Q$6:$AC$124,12,FALSE)</f>
        <v>35621.792916868486</v>
      </c>
      <c r="G118" s="133">
        <f>VLOOKUP($A118,IKP!$Q$6:$AC$124,13,FALSE)</f>
        <v>36706.340621439602</v>
      </c>
      <c r="H118" s="132">
        <f>((-0.0000000006)*IKP!$J$5 + 0.0461)*E118</f>
        <v>936.98424629338695</v>
      </c>
      <c r="I118" s="132">
        <f>((-0.0000000006)*IKP!$K$5 + 0.0461)*F118</f>
        <v>944.12246666059821</v>
      </c>
      <c r="J118" s="132">
        <f>((-0.0000000006)*IKP!$L$5 + 0.0461)*G118</f>
        <v>945.53418761578223</v>
      </c>
      <c r="K118" s="132">
        <f t="shared" si="43"/>
        <v>224.87621911041288</v>
      </c>
      <c r="L118" s="132">
        <f t="shared" si="44"/>
        <v>226.58939199854359</v>
      </c>
      <c r="M118" s="132">
        <f t="shared" si="45"/>
        <v>226.92820502778775</v>
      </c>
      <c r="N118" s="137">
        <f>VLOOKUP(A118,NSAmaksa_2021!$A$4:$N$138,12,FALSE)</f>
        <v>123.84350000000001</v>
      </c>
      <c r="O118" s="137">
        <f>VLOOKUP(A118,NSAmaksa_2021!$A$4:$N$138,14,FALSE)</f>
        <v>57.793633333333325</v>
      </c>
      <c r="P118" s="132">
        <f t="shared" si="46"/>
        <v>69623.64510350104</v>
      </c>
      <c r="Q118" s="132">
        <f t="shared" si="47"/>
        <v>70154.05841992909</v>
      </c>
      <c r="R118" s="132">
        <f t="shared" si="48"/>
        <v>70258.957898397071</v>
      </c>
      <c r="S118" s="132">
        <f t="shared" si="49"/>
        <v>54770.600814754158</v>
      </c>
      <c r="T118" s="132">
        <f t="shared" si="50"/>
        <v>55187.859290344211</v>
      </c>
      <c r="U118" s="132">
        <f t="shared" si="51"/>
        <v>55270.380213405704</v>
      </c>
      <c r="V118" s="132">
        <f t="shared" si="38"/>
        <v>14853.044288746882</v>
      </c>
      <c r="W118" s="132">
        <f t="shared" si="39"/>
        <v>14966.199129584878</v>
      </c>
      <c r="X118" s="132">
        <f t="shared" si="40"/>
        <v>14988.577684991367</v>
      </c>
      <c r="Y118" s="132">
        <f t="shared" si="41"/>
        <v>44807.821103323127</v>
      </c>
      <c r="Z118" s="138">
        <f t="shared" si="42"/>
        <v>12.789601798927475</v>
      </c>
    </row>
    <row r="119" spans="1:26" outlineLevel="1" x14ac:dyDescent="0.3">
      <c r="A119" s="98" t="s">
        <v>114</v>
      </c>
      <c r="B119" s="132">
        <f>VLOOKUP(A119,Iedz_sk!$B$5:$Y$123,15,FALSE)</f>
        <v>7795</v>
      </c>
      <c r="C119" s="132">
        <f>VLOOKUP(A119,Iedz_sk!$B$5:$Y$123,16,FALSE)</f>
        <v>7650</v>
      </c>
      <c r="D119" s="132">
        <f>VLOOKUP(A119,Iedz_sk!$B$5:$Y$123,17,FALSE)</f>
        <v>7505</v>
      </c>
      <c r="E119" s="133">
        <f>VLOOKUP($A119,IKP!$Q$6:$AC$124,11,FALSE)</f>
        <v>66524.099230699212</v>
      </c>
      <c r="F119" s="133">
        <f>VLOOKUP($A119,IKP!$Q$6:$AC$124,12,FALSE)</f>
        <v>69750.859694653991</v>
      </c>
      <c r="G119" s="133">
        <f>VLOOKUP($A119,IKP!$Q$6:$AC$124,13,FALSE)</f>
        <v>72223.819712559081</v>
      </c>
      <c r="H119" s="132">
        <f>((-0.0000000006)*IKP!$J$5 + 0.0461)*E119</f>
        <v>1826.4168822268527</v>
      </c>
      <c r="I119" s="132">
        <f>((-0.0000000006)*IKP!$K$5 + 0.0461)*F119</f>
        <v>1848.6816163436167</v>
      </c>
      <c r="J119" s="132">
        <f>((-0.0000000006)*IKP!$L$5 + 0.0461)*G119</f>
        <v>1860.4439871223799</v>
      </c>
      <c r="K119" s="132">
        <f t="shared" si="43"/>
        <v>438.34005173444467</v>
      </c>
      <c r="L119" s="132">
        <f t="shared" si="44"/>
        <v>443.68358792246801</v>
      </c>
      <c r="M119" s="132">
        <f t="shared" si="45"/>
        <v>446.50655690937123</v>
      </c>
      <c r="N119" s="137">
        <f>VLOOKUP(A119,NSAmaksa_2021!$A$4:$N$138,12,FALSE)</f>
        <v>88.75</v>
      </c>
      <c r="O119" s="137">
        <f>VLOOKUP(A119,NSAmaksa_2021!$A$4:$N$138,14,FALSE)</f>
        <v>41.416666666666664</v>
      </c>
      <c r="P119" s="132">
        <f t="shared" si="46"/>
        <v>97256.698978579909</v>
      </c>
      <c r="Q119" s="132">
        <f t="shared" si="47"/>
        <v>98442.296070297583</v>
      </c>
      <c r="R119" s="132">
        <f t="shared" si="48"/>
        <v>99068.642314266734</v>
      </c>
      <c r="S119" s="132">
        <f t="shared" si="49"/>
        <v>76508.603196482858</v>
      </c>
      <c r="T119" s="132">
        <f t="shared" si="50"/>
        <v>77441.272908634099</v>
      </c>
      <c r="U119" s="132">
        <f t="shared" si="51"/>
        <v>77933.998620556493</v>
      </c>
      <c r="V119" s="132">
        <f t="shared" si="38"/>
        <v>20748.095782097051</v>
      </c>
      <c r="W119" s="132">
        <f t="shared" si="39"/>
        <v>21001.023161663485</v>
      </c>
      <c r="X119" s="132">
        <f t="shared" si="40"/>
        <v>21134.643693710241</v>
      </c>
      <c r="Y119" s="132">
        <f t="shared" si="41"/>
        <v>62883.762637470776</v>
      </c>
      <c r="Z119" s="138">
        <f t="shared" si="42"/>
        <v>8.2230254044968625</v>
      </c>
    </row>
    <row r="120" spans="1:26" outlineLevel="1" x14ac:dyDescent="0.3">
      <c r="A120" s="98" t="s">
        <v>115</v>
      </c>
      <c r="B120" s="132">
        <f>VLOOKUP(A120,Iedz_sk!$B$5:$Y$123,15,FALSE)</f>
        <v>10777</v>
      </c>
      <c r="C120" s="132">
        <f>VLOOKUP(A120,Iedz_sk!$B$5:$Y$123,16,FALSE)</f>
        <v>10610</v>
      </c>
      <c r="D120" s="132">
        <f>VLOOKUP(A120,Iedz_sk!$B$5:$Y$123,17,FALSE)</f>
        <v>10443</v>
      </c>
      <c r="E120" s="133">
        <f>VLOOKUP($A120,IKP!$Q$6:$AC$124,11,FALSE)</f>
        <v>103256.21986562765</v>
      </c>
      <c r="F120" s="133">
        <f>VLOOKUP($A120,IKP!$Q$6:$AC$124,12,FALSE)</f>
        <v>108780.63142282021</v>
      </c>
      <c r="G120" s="133">
        <f>VLOOKUP($A120,IKP!$Q$6:$AC$124,13,FALSE)</f>
        <v>113191.50395031321</v>
      </c>
      <c r="H120" s="132">
        <f>((-0.0000000006)*IKP!$J$5 + 0.0461)*E120</f>
        <v>2834.8960051830509</v>
      </c>
      <c r="I120" s="132">
        <f>((-0.0000000006)*IKP!$K$5 + 0.0461)*F120</f>
        <v>2883.1293894580017</v>
      </c>
      <c r="J120" s="132">
        <f>((-0.0000000006)*IKP!$L$5 + 0.0461)*G120</f>
        <v>2915.7479313030603</v>
      </c>
      <c r="K120" s="132">
        <f t="shared" si="43"/>
        <v>680.37504124393229</v>
      </c>
      <c r="L120" s="132">
        <f t="shared" si="44"/>
        <v>691.95105346992034</v>
      </c>
      <c r="M120" s="132">
        <f t="shared" si="45"/>
        <v>699.77950351273444</v>
      </c>
      <c r="N120" s="137">
        <f>VLOOKUP(A120,NSAmaksa_2021!$A$4:$N$138,12,FALSE)</f>
        <v>77.45</v>
      </c>
      <c r="O120" s="137">
        <f>VLOOKUP(A120,NSAmaksa_2021!$A$4:$N$138,14,FALSE)</f>
        <v>36.143333333333331</v>
      </c>
      <c r="P120" s="132">
        <f t="shared" si="46"/>
        <v>131737.61736085638</v>
      </c>
      <c r="Q120" s="132">
        <f t="shared" si="47"/>
        <v>133979.02272811334</v>
      </c>
      <c r="R120" s="132">
        <f t="shared" si="48"/>
        <v>135494.80636765322</v>
      </c>
      <c r="S120" s="132">
        <f t="shared" si="49"/>
        <v>103633.59232387369</v>
      </c>
      <c r="T120" s="132">
        <f t="shared" si="50"/>
        <v>105396.83121278249</v>
      </c>
      <c r="U120" s="132">
        <f t="shared" si="51"/>
        <v>106589.24767588719</v>
      </c>
      <c r="V120" s="132">
        <f t="shared" si="38"/>
        <v>28104.025036982697</v>
      </c>
      <c r="W120" s="132">
        <f t="shared" si="39"/>
        <v>28582.191515330851</v>
      </c>
      <c r="X120" s="132">
        <f t="shared" si="40"/>
        <v>28905.558691766026</v>
      </c>
      <c r="Y120" s="132">
        <f t="shared" si="41"/>
        <v>85591.775244079574</v>
      </c>
      <c r="Z120" s="138">
        <f t="shared" si="42"/>
        <v>8.0696061880329992</v>
      </c>
    </row>
    <row r="121" spans="1:26" outlineLevel="1" x14ac:dyDescent="0.3">
      <c r="A121" s="98" t="s">
        <v>116</v>
      </c>
      <c r="B121" s="132">
        <f>VLOOKUP(A121,Iedz_sk!$B$5:$Y$123,15,FALSE)</f>
        <v>3535</v>
      </c>
      <c r="C121" s="132">
        <f>VLOOKUP(A121,Iedz_sk!$B$5:$Y$123,16,FALSE)</f>
        <v>3451</v>
      </c>
      <c r="D121" s="132">
        <f>VLOOKUP(A121,Iedz_sk!$B$5:$Y$123,17,FALSE)</f>
        <v>3367</v>
      </c>
      <c r="E121" s="133">
        <f>VLOOKUP($A121,IKP!$Q$6:$AC$124,11,FALSE)</f>
        <v>30168.401639579439</v>
      </c>
      <c r="F121" s="133">
        <f>VLOOKUP($A121,IKP!$Q$6:$AC$124,12,FALSE)</f>
        <v>31465.387817810581</v>
      </c>
      <c r="G121" s="133">
        <f>VLOOKUP($A121,IKP!$Q$6:$AC$124,13,FALSE)</f>
        <v>32402.078743795661</v>
      </c>
      <c r="H121" s="132">
        <f>((-0.0000000006)*IKP!$J$5 + 0.0461)*E121</f>
        <v>828.27244113815584</v>
      </c>
      <c r="I121" s="132">
        <f>((-0.0000000006)*IKP!$K$5 + 0.0461)*F121</f>
        <v>833.96081803945378</v>
      </c>
      <c r="J121" s="132">
        <f>((-0.0000000006)*IKP!$L$5 + 0.0461)*G121</f>
        <v>834.65888136456408</v>
      </c>
      <c r="K121" s="132">
        <f t="shared" si="43"/>
        <v>198.78538587315742</v>
      </c>
      <c r="L121" s="132">
        <f t="shared" si="44"/>
        <v>200.1505963294689</v>
      </c>
      <c r="M121" s="132">
        <f t="shared" si="45"/>
        <v>200.31813152749538</v>
      </c>
      <c r="N121" s="137">
        <f>VLOOKUP(A121,NSAmaksa_2021!$A$4:$N$138,12,FALSE)</f>
        <v>111.2</v>
      </c>
      <c r="O121" s="137">
        <f>VLOOKUP(A121,NSAmaksa_2021!$A$4:$N$138,14,FALSE)</f>
        <v>51.893333333333324</v>
      </c>
      <c r="P121" s="132">
        <f t="shared" si="46"/>
        <v>55262.337272737757</v>
      </c>
      <c r="Q121" s="132">
        <f t="shared" si="47"/>
        <v>55641.865779592357</v>
      </c>
      <c r="R121" s="132">
        <f t="shared" si="48"/>
        <v>55688.440564643715</v>
      </c>
      <c r="S121" s="132">
        <f t="shared" si="49"/>
        <v>43473.038654553697</v>
      </c>
      <c r="T121" s="132">
        <f t="shared" si="50"/>
        <v>43771.601079945991</v>
      </c>
      <c r="U121" s="132">
        <f t="shared" si="51"/>
        <v>43808.239910853052</v>
      </c>
      <c r="V121" s="132">
        <f t="shared" si="38"/>
        <v>11789.298618184061</v>
      </c>
      <c r="W121" s="132">
        <f t="shared" si="39"/>
        <v>11870.264699646366</v>
      </c>
      <c r="X121" s="132">
        <f t="shared" si="40"/>
        <v>11880.200653790664</v>
      </c>
      <c r="Y121" s="132">
        <f t="shared" si="41"/>
        <v>35539.763971621091</v>
      </c>
      <c r="Z121" s="138">
        <f t="shared" si="42"/>
        <v>10.303103380056916</v>
      </c>
    </row>
    <row r="122" spans="1:26" outlineLevel="1" x14ac:dyDescent="0.3">
      <c r="A122" s="98" t="s">
        <v>117</v>
      </c>
      <c r="B122" s="132">
        <f>VLOOKUP(A122,Iedz_sk!$B$5:$Y$123,15,FALSE)</f>
        <v>4476</v>
      </c>
      <c r="C122" s="132">
        <f>VLOOKUP(A122,Iedz_sk!$B$5:$Y$123,16,FALSE)</f>
        <v>4352</v>
      </c>
      <c r="D122" s="132">
        <f>VLOOKUP(A122,Iedz_sk!$B$5:$Y$123,17,FALSE)</f>
        <v>4228</v>
      </c>
      <c r="E122" s="133">
        <f>VLOOKUP($A122,IKP!$Q$6:$AC$124,11,FALSE)</f>
        <v>29433.733856232153</v>
      </c>
      <c r="F122" s="133">
        <f>VLOOKUP($A122,IKP!$Q$6:$AC$124,12,FALSE)</f>
        <v>30784.204097813257</v>
      </c>
      <c r="G122" s="133">
        <f>VLOOKUP($A122,IKP!$Q$6:$AC$124,13,FALSE)</f>
        <v>31790.107725476417</v>
      </c>
      <c r="H122" s="132">
        <f>((-0.0000000006)*IKP!$J$5 + 0.0461)*E122</f>
        <v>808.10216212873411</v>
      </c>
      <c r="I122" s="132">
        <f>((-0.0000000006)*IKP!$K$5 + 0.0461)*F122</f>
        <v>815.90667754535286</v>
      </c>
      <c r="J122" s="132">
        <f>((-0.0000000006)*IKP!$L$5 + 0.0461)*G122</f>
        <v>818.89486049365996</v>
      </c>
      <c r="K122" s="132">
        <f t="shared" si="43"/>
        <v>193.94451891089619</v>
      </c>
      <c r="L122" s="132">
        <f t="shared" si="44"/>
        <v>195.81760261088468</v>
      </c>
      <c r="M122" s="132">
        <f t="shared" si="45"/>
        <v>196.53476651847839</v>
      </c>
      <c r="N122" s="137">
        <f>VLOOKUP(A122,NSAmaksa_2021!$A$4:$N$138,12,FALSE)</f>
        <v>121.726</v>
      </c>
      <c r="O122" s="137">
        <f>VLOOKUP(A122,NSAmaksa_2021!$A$4:$N$138,14,FALSE)</f>
        <v>56.805466666666675</v>
      </c>
      <c r="P122" s="132">
        <f t="shared" si="46"/>
        <v>59020.226272369371</v>
      </c>
      <c r="Q122" s="132">
        <f t="shared" si="47"/>
        <v>59590.233738531373</v>
      </c>
      <c r="R122" s="132">
        <f t="shared" si="48"/>
        <v>59808.47747307075</v>
      </c>
      <c r="S122" s="132">
        <f t="shared" si="49"/>
        <v>46429.244667597239</v>
      </c>
      <c r="T122" s="132">
        <f t="shared" si="50"/>
        <v>46877.650540978007</v>
      </c>
      <c r="U122" s="132">
        <f t="shared" si="51"/>
        <v>47049.335612148992</v>
      </c>
      <c r="V122" s="132">
        <f t="shared" si="38"/>
        <v>12590.981604772132</v>
      </c>
      <c r="W122" s="132">
        <f t="shared" si="39"/>
        <v>12712.583197553366</v>
      </c>
      <c r="X122" s="132">
        <f t="shared" si="40"/>
        <v>12759.141860921758</v>
      </c>
      <c r="Y122" s="132">
        <f t="shared" si="41"/>
        <v>38062.706663247256</v>
      </c>
      <c r="Z122" s="138">
        <f t="shared" si="42"/>
        <v>8.7518608967198102</v>
      </c>
    </row>
    <row r="123" spans="1:26" outlineLevel="1" x14ac:dyDescent="0.3">
      <c r="A123" s="98" t="s">
        <v>118</v>
      </c>
      <c r="B123" s="132">
        <f>VLOOKUP(A123,Iedz_sk!$B$5:$Y$123,15,FALSE)</f>
        <v>5399</v>
      </c>
      <c r="C123" s="132">
        <f>VLOOKUP(A123,Iedz_sk!$B$5:$Y$123,16,FALSE)</f>
        <v>5293</v>
      </c>
      <c r="D123" s="132">
        <f>VLOOKUP(A123,Iedz_sk!$B$5:$Y$123,17,FALSE)</f>
        <v>5186</v>
      </c>
      <c r="E123" s="133">
        <f>VLOOKUP($A123,IKP!$Q$6:$AC$124,11,FALSE)</f>
        <v>35503.290681366714</v>
      </c>
      <c r="F123" s="133">
        <f>VLOOKUP($A123,IKP!$Q$6:$AC$124,12,FALSE)</f>
        <v>37440.439404808261</v>
      </c>
      <c r="G123" s="133">
        <f>VLOOKUP($A123,IKP!$Q$6:$AC$124,13,FALSE)</f>
        <v>38993.258908306692</v>
      </c>
      <c r="H123" s="132">
        <f>((-0.0000000006)*IKP!$J$5 + 0.0461)*E123</f>
        <v>974.74163836752371</v>
      </c>
      <c r="I123" s="132">
        <f>((-0.0000000006)*IKP!$K$5 + 0.0461)*F123</f>
        <v>992.32399913776476</v>
      </c>
      <c r="J123" s="132">
        <f>((-0.0000000006)*IKP!$L$5 + 0.0461)*G123</f>
        <v>1004.4438851750522</v>
      </c>
      <c r="K123" s="132">
        <f t="shared" si="43"/>
        <v>233.93799320820571</v>
      </c>
      <c r="L123" s="132">
        <f t="shared" si="44"/>
        <v>238.15775979306352</v>
      </c>
      <c r="M123" s="132">
        <f t="shared" si="45"/>
        <v>241.06653244201252</v>
      </c>
      <c r="N123" s="137">
        <f>VLOOKUP(A123,NSAmaksa_2021!$A$4:$N$138,12,FALSE)</f>
        <v>78.650000000000006</v>
      </c>
      <c r="O123" s="137">
        <f>VLOOKUP(A123,NSAmaksa_2021!$A$4:$N$138,14,FALSE)</f>
        <v>36.703333333333333</v>
      </c>
      <c r="P123" s="132">
        <f t="shared" si="46"/>
        <v>45998.05791456344</v>
      </c>
      <c r="Q123" s="132">
        <f t="shared" si="47"/>
        <v>46827.769519311121</v>
      </c>
      <c r="R123" s="132">
        <f t="shared" si="48"/>
        <v>47399.706941410717</v>
      </c>
      <c r="S123" s="132">
        <f t="shared" si="49"/>
        <v>36185.13889278991</v>
      </c>
      <c r="T123" s="132">
        <f t="shared" si="50"/>
        <v>36837.845355191414</v>
      </c>
      <c r="U123" s="132">
        <f t="shared" si="51"/>
        <v>37287.769460576426</v>
      </c>
      <c r="V123" s="132">
        <f t="shared" si="38"/>
        <v>9812.9190217735304</v>
      </c>
      <c r="W123" s="132">
        <f t="shared" si="39"/>
        <v>9989.9241641197077</v>
      </c>
      <c r="X123" s="132">
        <f t="shared" si="40"/>
        <v>10111.937480834291</v>
      </c>
      <c r="Y123" s="132">
        <f t="shared" si="41"/>
        <v>29914.780666727529</v>
      </c>
      <c r="Z123" s="138">
        <f t="shared" si="42"/>
        <v>5.6547808974829783</v>
      </c>
    </row>
    <row r="124" spans="1:26" outlineLevel="1" x14ac:dyDescent="0.3">
      <c r="A124" s="98" t="s">
        <v>119</v>
      </c>
      <c r="B124" s="132">
        <f>VLOOKUP(A124,Iedz_sk!$B$5:$Y$123,15,FALSE)</f>
        <v>2549</v>
      </c>
      <c r="C124" s="132">
        <f>VLOOKUP(A124,Iedz_sk!$B$5:$Y$123,16,FALSE)</f>
        <v>2479</v>
      </c>
      <c r="D124" s="132">
        <f>VLOOKUP(A124,Iedz_sk!$B$5:$Y$123,17,FALSE)</f>
        <v>2410</v>
      </c>
      <c r="E124" s="133">
        <f>VLOOKUP($A124,IKP!$Q$6:$AC$124,11,FALSE)</f>
        <v>16761.972207224255</v>
      </c>
      <c r="F124" s="133">
        <f>VLOOKUP($A124,IKP!$Q$6:$AC$124,12,FALSE)</f>
        <v>17535.395670606402</v>
      </c>
      <c r="G124" s="133">
        <f>VLOOKUP($A124,IKP!$Q$6:$AC$124,13,FALSE)</f>
        <v>18120.662161399756</v>
      </c>
      <c r="H124" s="132">
        <f>((-0.0000000006)*IKP!$J$5 + 0.0461)*E124</f>
        <v>460.19937695847705</v>
      </c>
      <c r="I124" s="132">
        <f>((-0.0000000006)*IKP!$K$5 + 0.0461)*F124</f>
        <v>464.75934136832024</v>
      </c>
      <c r="J124" s="132">
        <f>((-0.0000000006)*IKP!$L$5 + 0.0461)*G124</f>
        <v>466.77781783105974</v>
      </c>
      <c r="K124" s="132">
        <f t="shared" si="43"/>
        <v>110.4478504700345</v>
      </c>
      <c r="L124" s="132">
        <f t="shared" si="44"/>
        <v>111.54224192839685</v>
      </c>
      <c r="M124" s="132">
        <f t="shared" si="45"/>
        <v>112.02667627945435</v>
      </c>
      <c r="N124" s="137">
        <f>VLOOKUP(A124,NSAmaksa_2021!$A$4:$N$138,12,FALSE)</f>
        <v>124.4</v>
      </c>
      <c r="O124" s="137">
        <f>VLOOKUP(A124,NSAmaksa_2021!$A$4:$N$138,14,FALSE)</f>
        <v>58.053333333333335</v>
      </c>
      <c r="P124" s="132">
        <f t="shared" si="46"/>
        <v>34349.281496180731</v>
      </c>
      <c r="Q124" s="132">
        <f t="shared" si="47"/>
        <v>34689.637239731426</v>
      </c>
      <c r="R124" s="132">
        <f t="shared" si="48"/>
        <v>34840.296322910304</v>
      </c>
      <c r="S124" s="132">
        <f t="shared" si="49"/>
        <v>27021.434776995509</v>
      </c>
      <c r="T124" s="132">
        <f t="shared" si="50"/>
        <v>27289.181295255388</v>
      </c>
      <c r="U124" s="132">
        <f t="shared" si="51"/>
        <v>27407.699774022771</v>
      </c>
      <c r="V124" s="132">
        <f t="shared" si="38"/>
        <v>7327.8467191852214</v>
      </c>
      <c r="W124" s="132">
        <f t="shared" si="39"/>
        <v>7400.455944476038</v>
      </c>
      <c r="X124" s="132">
        <f t="shared" si="40"/>
        <v>7432.5965488875336</v>
      </c>
      <c r="Y124" s="132">
        <f t="shared" si="41"/>
        <v>22160.899212548793</v>
      </c>
      <c r="Z124" s="138">
        <f t="shared" si="42"/>
        <v>8.9441162574301654</v>
      </c>
    </row>
    <row r="125" spans="1:26" x14ac:dyDescent="0.3">
      <c r="B125" s="108"/>
      <c r="C125" s="108"/>
      <c r="D125" s="108"/>
      <c r="E125" s="117"/>
      <c r="F125" s="117"/>
      <c r="G125" s="117"/>
      <c r="H125" s="114"/>
      <c r="I125" s="114"/>
      <c r="J125" s="114"/>
      <c r="N125" s="116"/>
      <c r="O125" s="116"/>
      <c r="P125" s="114"/>
      <c r="Q125" s="114"/>
      <c r="R125" s="114"/>
      <c r="S125" s="114"/>
      <c r="T125" s="114"/>
      <c r="U125" s="114"/>
      <c r="V125" s="114"/>
      <c r="W125" s="114"/>
      <c r="X125" s="114"/>
      <c r="Y125" s="114"/>
      <c r="Z125" s="112"/>
    </row>
    <row r="126" spans="1:26" x14ac:dyDescent="0.3">
      <c r="A126" s="98" t="s">
        <v>135</v>
      </c>
      <c r="B126" s="132">
        <f>IKP!J70</f>
        <v>183869</v>
      </c>
      <c r="C126" s="132">
        <f>IKP!K70</f>
        <v>184214</v>
      </c>
      <c r="D126" s="132">
        <f>IKP!L70</f>
        <v>184559</v>
      </c>
      <c r="E126" s="133">
        <f>IKP!J75</f>
        <v>5228143.5548050608</v>
      </c>
      <c r="F126" s="133">
        <f>IKP!K75</f>
        <v>5494772.0032940069</v>
      </c>
      <c r="G126" s="133">
        <f>IKP!L75</f>
        <v>5703575.4772889027</v>
      </c>
      <c r="H126" s="132">
        <f>((-0.0000000006)*IKP!$J$5 + 0.0461)*E126</f>
        <v>143538.50351415138</v>
      </c>
      <c r="I126" s="132">
        <f>((-0.0000000006)*IKP!$K$5 + 0.0461)*F126</f>
        <v>145633.81774730695</v>
      </c>
      <c r="J126" s="132">
        <f>((-0.0000000006)*IKP!$L$5 + 0.0461)*G126</f>
        <v>146920.81842322729</v>
      </c>
      <c r="K126" s="132">
        <f>H126*$AB$6*$AB$5</f>
        <v>34449.240843396328</v>
      </c>
      <c r="L126" s="132">
        <f>I126*$AB$6*$AB$5</f>
        <v>34952.116259353672</v>
      </c>
      <c r="M126" s="132">
        <f>J126*$AB$6*$AB$5</f>
        <v>35260.996421574549</v>
      </c>
      <c r="N126" s="137">
        <f>VLOOKUP(A126,NSAmaksa_2021!$A$4:$N$138,12,FALSE)</f>
        <v>83.9</v>
      </c>
      <c r="O126" s="137">
        <f>VLOOKUP(A126,NSAmaksa_2021!$A$4:$N$138,14,FALSE)</f>
        <v>31.2</v>
      </c>
      <c r="P126" s="132">
        <f t="shared" ref="P126:R129" si="52">H126*$AB$5*$N126</f>
        <v>7225728.2669023806</v>
      </c>
      <c r="Q126" s="132">
        <f t="shared" si="52"/>
        <v>7331206.3853994319</v>
      </c>
      <c r="R126" s="132">
        <f t="shared" si="52"/>
        <v>7395993.9994252622</v>
      </c>
      <c r="S126" s="132">
        <f t="shared" ref="S126:U129" si="53">H126*$AB$5*(1-$AB$6)*$N126+K126*$O126</f>
        <v>5410253.2744553927</v>
      </c>
      <c r="T126" s="132">
        <f t="shared" si="53"/>
        <v>5489229.8585314937</v>
      </c>
      <c r="U126" s="132">
        <f t="shared" si="53"/>
        <v>5537739.4880082831</v>
      </c>
      <c r="V126" s="132">
        <f t="shared" si="38"/>
        <v>1815474.9924469879</v>
      </c>
      <c r="W126" s="132">
        <f t="shared" si="39"/>
        <v>1841976.5268679382</v>
      </c>
      <c r="X126" s="132">
        <f t="shared" si="40"/>
        <v>1858254.5114169791</v>
      </c>
      <c r="Y126" s="132">
        <f t="shared" si="41"/>
        <v>5515706.0307319053</v>
      </c>
      <c r="Z126" s="138">
        <f t="shared" si="42"/>
        <v>29.941474576005984</v>
      </c>
    </row>
    <row r="127" spans="1:26" x14ac:dyDescent="0.3">
      <c r="A127" s="98" t="s">
        <v>136</v>
      </c>
      <c r="B127" s="132">
        <f>IKP!J71</f>
        <v>112248</v>
      </c>
      <c r="C127" s="132">
        <f>IKP!K71</f>
        <v>112459</v>
      </c>
      <c r="D127" s="132">
        <f>IKP!L71</f>
        <v>112669</v>
      </c>
      <c r="E127" s="133">
        <f>IKP!J76</f>
        <v>3191667.2073038877</v>
      </c>
      <c r="F127" s="133">
        <f>IKP!K76</f>
        <v>3354449.524566215</v>
      </c>
      <c r="G127" s="133">
        <f>IKP!L76</f>
        <v>3481900.8850864135</v>
      </c>
      <c r="H127" s="132">
        <f>((-0.0000000006)*IKP!$J$5 + 0.0461)*E127</f>
        <v>87627.114643884866</v>
      </c>
      <c r="I127" s="132">
        <f>((-0.0000000006)*IKP!$K$5 + 0.0461)*F127</f>
        <v>88906.562530776122</v>
      </c>
      <c r="J127" s="132">
        <f>((-0.0000000006)*IKP!$L$5 + 0.0461)*G127</f>
        <v>89691.760851145693</v>
      </c>
      <c r="K127" s="132">
        <f t="shared" ref="K127:M129" si="54">H127*$AB$6*$AB$5</f>
        <v>21030.507514532368</v>
      </c>
      <c r="L127" s="132">
        <f t="shared" si="54"/>
        <v>21337.575007386269</v>
      </c>
      <c r="M127" s="132">
        <f t="shared" si="54"/>
        <v>21526.022604274967</v>
      </c>
      <c r="N127" s="137">
        <f>VLOOKUP(A127,NSAmaksa_2021!$A$4:$N$138,12,FALSE)</f>
        <v>85.35</v>
      </c>
      <c r="O127" s="137">
        <f>VLOOKUP(A127,NSAmaksa_2021!$A$4:$N$138,14,FALSE)</f>
        <v>32.266666666666666</v>
      </c>
      <c r="P127" s="132">
        <f t="shared" si="52"/>
        <v>4487384.5409133434</v>
      </c>
      <c r="Q127" s="132">
        <f t="shared" si="52"/>
        <v>4552905.0672010453</v>
      </c>
      <c r="R127" s="132">
        <f t="shared" si="52"/>
        <v>4593115.0731871706</v>
      </c>
      <c r="S127" s="132">
        <f t="shared" si="53"/>
        <v>3371015.1003502505</v>
      </c>
      <c r="T127" s="132">
        <f t="shared" si="53"/>
        <v>3420235.4605589574</v>
      </c>
      <c r="U127" s="132">
        <f t="shared" si="53"/>
        <v>3450442.0399435745</v>
      </c>
      <c r="V127" s="132">
        <f t="shared" si="38"/>
        <v>1116369.4405630929</v>
      </c>
      <c r="W127" s="132">
        <f t="shared" si="39"/>
        <v>1132669.6066420879</v>
      </c>
      <c r="X127" s="132">
        <f t="shared" si="40"/>
        <v>1142673.0332435961</v>
      </c>
      <c r="Y127" s="132">
        <f t="shared" si="41"/>
        <v>3391712.0804487769</v>
      </c>
      <c r="Z127" s="138">
        <f t="shared" si="42"/>
        <v>30.159265188038908</v>
      </c>
    </row>
    <row r="128" spans="1:26" x14ac:dyDescent="0.3">
      <c r="A128" s="98" t="s">
        <v>137</v>
      </c>
      <c r="B128" s="132">
        <f>IKP!J72</f>
        <v>90127</v>
      </c>
      <c r="C128" s="132">
        <f>IKP!K72</f>
        <v>90296</v>
      </c>
      <c r="D128" s="132">
        <f>IKP!L72</f>
        <v>90465</v>
      </c>
      <c r="E128" s="133">
        <f>IKP!J77</f>
        <v>2562677.2004194059</v>
      </c>
      <c r="F128" s="133">
        <f>IKP!K77</f>
        <v>2693367.1317567378</v>
      </c>
      <c r="G128" s="133">
        <f>IKP!L77</f>
        <v>2795712.783190961</v>
      </c>
      <c r="H128" s="132">
        <f>((-0.0000000006)*IKP!$J$5 + 0.0461)*E128</f>
        <v>70358.215393676597</v>
      </c>
      <c r="I128" s="132">
        <f>((-0.0000000006)*IKP!$K$5 + 0.0461)*F128</f>
        <v>71385.189004694708</v>
      </c>
      <c r="J128" s="132">
        <f>((-0.0000000006)*IKP!$L$5 + 0.0461)*G128</f>
        <v>72015.950664325544</v>
      </c>
      <c r="K128" s="132">
        <f t="shared" si="54"/>
        <v>16885.971694482385</v>
      </c>
      <c r="L128" s="132">
        <f t="shared" si="54"/>
        <v>17132.445361126731</v>
      </c>
      <c r="M128" s="132">
        <f t="shared" si="54"/>
        <v>17283.82815943813</v>
      </c>
      <c r="N128" s="137">
        <f>VLOOKUP(A128,NSAmaksa_2021!$A$4:$N$138,12,FALSE)</f>
        <v>63.6</v>
      </c>
      <c r="O128" s="137">
        <f>VLOOKUP(A128,NSAmaksa_2021!$A$4:$N$138,14,FALSE)</f>
        <v>24.2</v>
      </c>
      <c r="P128" s="132">
        <f t="shared" si="52"/>
        <v>2684869.4994226987</v>
      </c>
      <c r="Q128" s="132">
        <f t="shared" si="52"/>
        <v>2724058.81241915</v>
      </c>
      <c r="R128" s="132">
        <f t="shared" si="52"/>
        <v>2748128.6773506626</v>
      </c>
      <c r="S128" s="132">
        <f t="shared" si="53"/>
        <v>2019562.214660093</v>
      </c>
      <c r="T128" s="132">
        <f t="shared" si="53"/>
        <v>2049040.4651907566</v>
      </c>
      <c r="U128" s="132">
        <f t="shared" si="53"/>
        <v>2067145.8478688002</v>
      </c>
      <c r="V128" s="132">
        <f t="shared" si="38"/>
        <v>665307.28476260579</v>
      </c>
      <c r="W128" s="132">
        <f t="shared" si="39"/>
        <v>675018.34722839342</v>
      </c>
      <c r="X128" s="132">
        <f t="shared" si="40"/>
        <v>680982.82948186249</v>
      </c>
      <c r="Y128" s="132">
        <f t="shared" si="41"/>
        <v>2021308.4614728617</v>
      </c>
      <c r="Z128" s="138">
        <f t="shared" si="42"/>
        <v>22.385087254167658</v>
      </c>
    </row>
    <row r="129" spans="1:27" x14ac:dyDescent="0.3">
      <c r="A129" s="98" t="s">
        <v>138</v>
      </c>
      <c r="B129" s="132">
        <f>IKP!J73</f>
        <v>228376</v>
      </c>
      <c r="C129" s="132">
        <f>IKP!K73</f>
        <v>228805</v>
      </c>
      <c r="D129" s="132">
        <f>IKP!L73</f>
        <v>229233</v>
      </c>
      <c r="E129" s="133">
        <f>IKP!J78</f>
        <v>6493658.5964581342</v>
      </c>
      <c r="F129" s="133">
        <f>IKP!K78</f>
        <v>6824841.2618676396</v>
      </c>
      <c r="G129" s="133">
        <f>IKP!L78</f>
        <v>7084172.0933975969</v>
      </c>
      <c r="H129" s="132">
        <f>((-0.0000000006)*IKP!$J$5 + 0.0461)*E129</f>
        <v>178283.17594889752</v>
      </c>
      <c r="I129" s="132">
        <f>((-0.0000000006)*IKP!$K$5 + 0.0461)*F129</f>
        <v>180886.06549813028</v>
      </c>
      <c r="J129" s="132">
        <f>((-0.0000000006)*IKP!$L$5 + 0.0461)*G129</f>
        <v>182484.19188233392</v>
      </c>
      <c r="K129" s="132">
        <f t="shared" si="54"/>
        <v>42787.962227735399</v>
      </c>
      <c r="L129" s="132">
        <f t="shared" si="54"/>
        <v>43412.655719551272</v>
      </c>
      <c r="M129" s="132">
        <f t="shared" si="54"/>
        <v>43796.206051760142</v>
      </c>
      <c r="N129" s="137">
        <f>VLOOKUP(A129,NSAmaksa_2021!$A$4:$N$138,12,FALSE)</f>
        <v>86.15</v>
      </c>
      <c r="O129" s="137">
        <f>VLOOKUP(A129,NSAmaksa_2021!$A$4:$N$138,14,FALSE)</f>
        <v>41.900000000000006</v>
      </c>
      <c r="P129" s="132">
        <f t="shared" si="52"/>
        <v>9215457.3647985142</v>
      </c>
      <c r="Q129" s="132">
        <f t="shared" si="52"/>
        <v>9350000.7255983539</v>
      </c>
      <c r="R129" s="132">
        <f t="shared" si="52"/>
        <v>9432607.878397841</v>
      </c>
      <c r="S129" s="132">
        <f t="shared" si="53"/>
        <v>7322090.036221222</v>
      </c>
      <c r="T129" s="132">
        <f t="shared" si="53"/>
        <v>7428990.7100082114</v>
      </c>
      <c r="U129" s="132">
        <f t="shared" si="53"/>
        <v>7494625.7606074549</v>
      </c>
      <c r="V129" s="132">
        <f t="shared" si="38"/>
        <v>1893367.3285772922</v>
      </c>
      <c r="W129" s="132">
        <f t="shared" si="39"/>
        <v>1921010.0155901425</v>
      </c>
      <c r="X129" s="132">
        <f t="shared" si="40"/>
        <v>1937982.1177903861</v>
      </c>
      <c r="Y129" s="132">
        <f t="shared" si="41"/>
        <v>5752359.4619578207</v>
      </c>
      <c r="Z129" s="138">
        <f t="shared" si="42"/>
        <v>25.140611954236512</v>
      </c>
    </row>
    <row r="130" spans="1:27" x14ac:dyDescent="0.3">
      <c r="A130" s="148" t="s">
        <v>462</v>
      </c>
      <c r="B130" s="149">
        <f>SUM(B126:B129)</f>
        <v>614620</v>
      </c>
      <c r="C130" s="149">
        <f t="shared" ref="C130:M130" si="55">SUM(C126:C129)</f>
        <v>615774</v>
      </c>
      <c r="D130" s="149">
        <f t="shared" si="55"/>
        <v>616926</v>
      </c>
      <c r="E130" s="150">
        <f t="shared" si="55"/>
        <v>17476146.558986489</v>
      </c>
      <c r="F130" s="150">
        <f t="shared" si="55"/>
        <v>18367429.921484601</v>
      </c>
      <c r="G130" s="150">
        <f t="shared" si="55"/>
        <v>19065361.238963872</v>
      </c>
      <c r="H130" s="149">
        <f t="shared" si="55"/>
        <v>479807.00950061041</v>
      </c>
      <c r="I130" s="149">
        <f t="shared" si="55"/>
        <v>486811.63478090806</v>
      </c>
      <c r="J130" s="149">
        <f t="shared" si="55"/>
        <v>491112.72182103246</v>
      </c>
      <c r="K130" s="149">
        <f>SUM(K126:K129)</f>
        <v>115153.68228014649</v>
      </c>
      <c r="L130" s="149">
        <f t="shared" si="55"/>
        <v>116834.79234741796</v>
      </c>
      <c r="M130" s="149">
        <f t="shared" si="55"/>
        <v>117867.05323704777</v>
      </c>
      <c r="N130" s="151" t="s">
        <v>333</v>
      </c>
      <c r="O130" s="151" t="s">
        <v>333</v>
      </c>
      <c r="P130" s="149">
        <f>SUM(P126:P129)</f>
        <v>23613439.672036938</v>
      </c>
      <c r="Q130" s="149">
        <f t="shared" ref="Q130" si="56">SUM(Q126:Q129)</f>
        <v>23958170.990617983</v>
      </c>
      <c r="R130" s="149">
        <f t="shared" ref="R130" si="57">SUM(R126:R129)</f>
        <v>24169845.628360935</v>
      </c>
      <c r="S130" s="149">
        <f t="shared" ref="S130" si="58">SUM(S126:S129)</f>
        <v>18122920.625686958</v>
      </c>
      <c r="T130" s="149">
        <f t="shared" ref="T130" si="59">SUM(T126:T129)</f>
        <v>18387496.494289421</v>
      </c>
      <c r="U130" s="149">
        <f t="shared" ref="U130" si="60">SUM(U126:U129)</f>
        <v>18549953.13642811</v>
      </c>
      <c r="V130" s="149">
        <f t="shared" ref="V130" si="61">SUM(V126:V129)</f>
        <v>5490519.046349979</v>
      </c>
      <c r="W130" s="149">
        <f t="shared" ref="W130" si="62">SUM(W126:W129)</f>
        <v>5570674.4963285625</v>
      </c>
      <c r="X130" s="149">
        <f t="shared" ref="X130" si="63">SUM(X126:X129)</f>
        <v>5619892.4919328243</v>
      </c>
      <c r="Y130" s="149">
        <f t="shared" ref="Y130" si="64">SUM(Y126:Y129)</f>
        <v>16681086.034611363</v>
      </c>
      <c r="Z130" s="118">
        <f t="shared" ref="Z130" si="65">SUM(Z126:Z129)</f>
        <v>107.62643897244905</v>
      </c>
      <c r="AA130" s="118"/>
    </row>
    <row r="131" spans="1:27" x14ac:dyDescent="0.3">
      <c r="A131" s="83"/>
      <c r="N131" s="119"/>
      <c r="O131" s="119"/>
    </row>
    <row r="132" spans="1:27" x14ac:dyDescent="0.3">
      <c r="A132" s="83"/>
      <c r="N132" s="119"/>
      <c r="O132" s="119"/>
    </row>
  </sheetData>
  <sheetProtection algorithmName="SHA-512" hashValue="BdMcnrinr+3YatqyM3FOnqlgdONsvaKSMwjnuYfohpHxJPnIC2gRZQKvB2pX+HXzvdp8FNpca5L30813bTT6RQ==" saltValue="LNQV2RlkK9E2P7QwS7XotA==" spinCount="100000" sheet="1" objects="1" scenarios="1"/>
  <mergeCells count="9">
    <mergeCell ref="A3:A4"/>
    <mergeCell ref="AB3:AC4"/>
    <mergeCell ref="S3:U3"/>
    <mergeCell ref="V3:X3"/>
    <mergeCell ref="B3:D3"/>
    <mergeCell ref="H3:J3"/>
    <mergeCell ref="K3:M3"/>
    <mergeCell ref="E3:G3"/>
    <mergeCell ref="P3:R3"/>
  </mergeCells>
  <phoneticPr fontId="4" type="noConversion"/>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27B4-D3C5-41F0-857B-64B43803D834}">
  <dimension ref="A1:AK175"/>
  <sheetViews>
    <sheetView topLeftCell="F1" zoomScale="85" zoomScaleNormal="85" workbookViewId="0">
      <selection activeCell="B3" sqref="B3:R3"/>
    </sheetView>
  </sheetViews>
  <sheetFormatPr defaultColWidth="8.90625" defaultRowHeight="14.5" x14ac:dyDescent="0.35"/>
  <cols>
    <col min="1" max="1" width="30.1796875" style="52" bestFit="1" customWidth="1"/>
    <col min="2" max="2" width="23.08984375" style="52" customWidth="1"/>
    <col min="3" max="3" width="11.54296875" style="52" hidden="1" customWidth="1"/>
    <col min="4" max="4" width="11.54296875" style="52" bestFit="1" customWidth="1"/>
    <col min="5" max="11" width="11.453125" style="52" bestFit="1" customWidth="1"/>
    <col min="12" max="12" width="10" style="52" customWidth="1"/>
    <col min="13" max="13" width="24.08984375" style="52" customWidth="1"/>
    <col min="14" max="15" width="3.36328125" style="52" customWidth="1"/>
    <col min="16" max="16" width="12" style="52" bestFit="1" customWidth="1"/>
    <col min="17" max="17" width="10" style="52" bestFit="1" customWidth="1"/>
    <col min="18" max="24" width="8.90625" style="52"/>
    <col min="25" max="25" width="9.90625" style="52" customWidth="1"/>
    <col min="26" max="26" width="0" style="52" hidden="1" customWidth="1"/>
    <col min="27" max="27" width="8.90625" style="52"/>
    <col min="28" max="28" width="26.453125" style="52" bestFit="1" customWidth="1"/>
    <col min="29" max="32" width="11.6328125" style="52" bestFit="1" customWidth="1"/>
    <col min="33" max="16384" width="8.90625" style="52"/>
  </cols>
  <sheetData>
    <row r="1" spans="1:37" ht="26" x14ac:dyDescent="0.6">
      <c r="A1" s="58" t="s">
        <v>279</v>
      </c>
    </row>
    <row r="2" spans="1:37" ht="43.25" customHeight="1" x14ac:dyDescent="0.35">
      <c r="A2" s="59"/>
      <c r="B2" s="60"/>
      <c r="C2" s="61"/>
      <c r="D2" s="213" t="s">
        <v>380</v>
      </c>
      <c r="E2" s="213"/>
      <c r="F2" s="213"/>
      <c r="G2" s="213"/>
      <c r="H2" s="213"/>
      <c r="I2" s="213"/>
      <c r="J2" s="213"/>
      <c r="K2" s="213"/>
      <c r="L2" s="213"/>
      <c r="M2" s="62" t="s">
        <v>269</v>
      </c>
      <c r="P2" s="63" t="s">
        <v>382</v>
      </c>
      <c r="Q2" s="212" t="s">
        <v>290</v>
      </c>
      <c r="R2" s="212"/>
      <c r="S2" s="212"/>
      <c r="T2" s="212"/>
      <c r="U2" s="212"/>
      <c r="V2" s="212"/>
      <c r="W2" s="212"/>
      <c r="X2" s="212"/>
      <c r="Y2" s="63" t="s">
        <v>289</v>
      </c>
      <c r="AB2" s="53" t="s">
        <v>383</v>
      </c>
    </row>
    <row r="3" spans="1:37" x14ac:dyDescent="0.35">
      <c r="A3" s="63" t="s">
        <v>314</v>
      </c>
      <c r="B3" s="63" t="s">
        <v>315</v>
      </c>
      <c r="C3" s="64"/>
      <c r="D3" s="64">
        <v>2013</v>
      </c>
      <c r="E3" s="64">
        <v>2014</v>
      </c>
      <c r="F3" s="64">
        <v>2015</v>
      </c>
      <c r="G3" s="64">
        <v>2016</v>
      </c>
      <c r="H3" s="64">
        <v>2017</v>
      </c>
      <c r="I3" s="64">
        <v>2018</v>
      </c>
      <c r="J3" s="64">
        <v>2019</v>
      </c>
      <c r="K3" s="64">
        <v>2020</v>
      </c>
      <c r="L3" s="64">
        <v>2021</v>
      </c>
      <c r="M3" s="64">
        <v>2030</v>
      </c>
      <c r="P3" s="64">
        <v>2021</v>
      </c>
      <c r="Q3" s="64">
        <v>2022</v>
      </c>
      <c r="R3" s="64">
        <v>2023</v>
      </c>
      <c r="S3" s="64">
        <v>2024</v>
      </c>
      <c r="T3" s="64">
        <v>2025</v>
      </c>
      <c r="U3" s="64">
        <v>2026</v>
      </c>
      <c r="V3" s="64">
        <v>2027</v>
      </c>
      <c r="W3" s="64">
        <v>2028</v>
      </c>
      <c r="X3" s="64">
        <v>2029</v>
      </c>
      <c r="Y3" s="64">
        <v>2030</v>
      </c>
      <c r="Z3" s="52" t="s">
        <v>314</v>
      </c>
      <c r="AB3" s="4" t="s">
        <v>316</v>
      </c>
      <c r="AC3" s="4" t="s">
        <v>318</v>
      </c>
      <c r="AD3" s="4" t="s">
        <v>319</v>
      </c>
      <c r="AE3" s="4" t="s">
        <v>320</v>
      </c>
      <c r="AF3" s="4" t="s">
        <v>321</v>
      </c>
      <c r="AG3" s="4" t="s">
        <v>322</v>
      </c>
      <c r="AH3" s="4" t="s">
        <v>323</v>
      </c>
      <c r="AI3" s="4" t="s">
        <v>324</v>
      </c>
      <c r="AJ3" s="4" t="s">
        <v>325</v>
      </c>
      <c r="AK3" s="4" t="s">
        <v>326</v>
      </c>
    </row>
    <row r="4" spans="1:37" x14ac:dyDescent="0.35">
      <c r="A4" s="60" t="s">
        <v>327</v>
      </c>
      <c r="B4" s="59" t="s">
        <v>278</v>
      </c>
      <c r="C4" s="65"/>
      <c r="D4" s="65">
        <v>2023825</v>
      </c>
      <c r="E4" s="65">
        <v>2001468</v>
      </c>
      <c r="F4" s="65">
        <v>1986096</v>
      </c>
      <c r="G4" s="65">
        <v>1968957</v>
      </c>
      <c r="H4" s="65">
        <v>1950116</v>
      </c>
      <c r="I4" s="65">
        <v>1934379</v>
      </c>
      <c r="J4" s="65">
        <v>1919968</v>
      </c>
      <c r="K4" s="65">
        <v>1907675</v>
      </c>
      <c r="L4" s="65">
        <v>1893223</v>
      </c>
      <c r="M4" s="60">
        <v>1742028</v>
      </c>
      <c r="P4" s="65">
        <f t="shared" ref="P4:P35" si="0">L4</f>
        <v>1893223</v>
      </c>
      <c r="Q4" s="65">
        <f t="shared" ref="Q4:X5" si="1">ROUND((_xlfn.FORECAST.LINEAR(Q$3,$L4:$M4,$L$3:$M$3)),0)</f>
        <v>1876424</v>
      </c>
      <c r="R4" s="65">
        <f t="shared" si="1"/>
        <v>1859624</v>
      </c>
      <c r="S4" s="65">
        <f t="shared" si="1"/>
        <v>1842825</v>
      </c>
      <c r="T4" s="65">
        <f t="shared" si="1"/>
        <v>1826025</v>
      </c>
      <c r="U4" s="65">
        <f t="shared" si="1"/>
        <v>1809226</v>
      </c>
      <c r="V4" s="65">
        <f t="shared" si="1"/>
        <v>1792426</v>
      </c>
      <c r="W4" s="65">
        <f t="shared" si="1"/>
        <v>1775627</v>
      </c>
      <c r="X4" s="65">
        <f t="shared" si="1"/>
        <v>1758827</v>
      </c>
      <c r="Y4" s="60">
        <f>M4</f>
        <v>1742028</v>
      </c>
      <c r="Z4" s="52" t="s">
        <v>327</v>
      </c>
      <c r="AB4" s="56" t="s">
        <v>2</v>
      </c>
      <c r="AC4" s="57">
        <v>89184</v>
      </c>
      <c r="AD4" s="57">
        <v>87403</v>
      </c>
      <c r="AE4" s="57">
        <v>86435</v>
      </c>
      <c r="AF4" s="57">
        <v>85858</v>
      </c>
      <c r="AG4" s="57">
        <v>84592</v>
      </c>
      <c r="AH4" s="57">
        <v>83250</v>
      </c>
      <c r="AI4" s="57">
        <v>82604</v>
      </c>
      <c r="AJ4" s="57">
        <v>81587</v>
      </c>
      <c r="AK4" s="57">
        <v>80627</v>
      </c>
    </row>
    <row r="5" spans="1:37" x14ac:dyDescent="0.35">
      <c r="A5" s="66" t="s">
        <v>1</v>
      </c>
      <c r="B5" s="59" t="s">
        <v>1</v>
      </c>
      <c r="C5" s="65"/>
      <c r="D5" s="65">
        <v>643615</v>
      </c>
      <c r="E5" s="65">
        <v>643368</v>
      </c>
      <c r="F5" s="65">
        <v>641007</v>
      </c>
      <c r="G5" s="65">
        <v>639630</v>
      </c>
      <c r="H5" s="65">
        <v>641423</v>
      </c>
      <c r="I5" s="65">
        <v>637971</v>
      </c>
      <c r="J5" s="65">
        <v>632614</v>
      </c>
      <c r="K5" s="65">
        <v>621120</v>
      </c>
      <c r="L5" s="65">
        <v>614618</v>
      </c>
      <c r="M5" s="67">
        <v>625000</v>
      </c>
      <c r="P5" s="65">
        <f t="shared" si="0"/>
        <v>614618</v>
      </c>
      <c r="Q5" s="65">
        <f t="shared" si="1"/>
        <v>615772</v>
      </c>
      <c r="R5" s="65">
        <f t="shared" si="1"/>
        <v>616925</v>
      </c>
      <c r="S5" s="65">
        <f t="shared" si="1"/>
        <v>618079</v>
      </c>
      <c r="T5" s="65">
        <f t="shared" si="1"/>
        <v>619232</v>
      </c>
      <c r="U5" s="65">
        <f t="shared" si="1"/>
        <v>620386</v>
      </c>
      <c r="V5" s="65">
        <f t="shared" si="1"/>
        <v>621539</v>
      </c>
      <c r="W5" s="65">
        <f t="shared" si="1"/>
        <v>622693</v>
      </c>
      <c r="X5" s="65">
        <f t="shared" si="1"/>
        <v>623846</v>
      </c>
      <c r="Y5" s="60">
        <f t="shared" ref="Y5:Y68" si="2">M5</f>
        <v>625000</v>
      </c>
      <c r="Z5" s="52" t="s">
        <v>1</v>
      </c>
      <c r="AB5" s="56" t="s">
        <v>5</v>
      </c>
      <c r="AC5" s="57">
        <v>57773</v>
      </c>
      <c r="AD5" s="57">
        <v>57332</v>
      </c>
      <c r="AE5" s="57">
        <v>57180</v>
      </c>
      <c r="AF5" s="57">
        <v>57053</v>
      </c>
      <c r="AG5" s="57">
        <v>56743</v>
      </c>
      <c r="AH5" s="57">
        <v>56383</v>
      </c>
      <c r="AI5" s="57">
        <v>55972</v>
      </c>
      <c r="AJ5" s="57">
        <v>55517</v>
      </c>
      <c r="AK5" s="57">
        <v>55336</v>
      </c>
    </row>
    <row r="6" spans="1:37" x14ac:dyDescent="0.35">
      <c r="A6" s="66" t="s">
        <v>2</v>
      </c>
      <c r="B6" s="59" t="s">
        <v>2</v>
      </c>
      <c r="C6" s="65"/>
      <c r="D6" s="65">
        <v>89184</v>
      </c>
      <c r="E6" s="65">
        <v>87403</v>
      </c>
      <c r="F6" s="65">
        <v>86435</v>
      </c>
      <c r="G6" s="65">
        <v>85858</v>
      </c>
      <c r="H6" s="65">
        <v>84592</v>
      </c>
      <c r="I6" s="65">
        <v>83250</v>
      </c>
      <c r="J6" s="65">
        <v>82604</v>
      </c>
      <c r="K6" s="65">
        <v>81587</v>
      </c>
      <c r="L6" s="65">
        <v>80627</v>
      </c>
      <c r="M6" s="67">
        <v>67039</v>
      </c>
      <c r="P6" s="65">
        <f t="shared" si="0"/>
        <v>80627</v>
      </c>
      <c r="Q6" s="65">
        <f t="shared" ref="Q6:X37" si="3">ROUND((_xlfn.FORECAST.LINEAR(Q$3,$L6:$M6,$L$3:$M$3)),0)</f>
        <v>79117</v>
      </c>
      <c r="R6" s="65">
        <f t="shared" ref="R6:X19" si="4">ROUND((_xlfn.FORECAST.LINEAR(R$3,$L6:$M6,$L$3:$M$3)),0)</f>
        <v>77607</v>
      </c>
      <c r="S6" s="65">
        <f t="shared" si="4"/>
        <v>76098</v>
      </c>
      <c r="T6" s="65">
        <f t="shared" si="4"/>
        <v>74588</v>
      </c>
      <c r="U6" s="65">
        <f t="shared" si="4"/>
        <v>73078</v>
      </c>
      <c r="V6" s="65">
        <f t="shared" si="4"/>
        <v>71568</v>
      </c>
      <c r="W6" s="65">
        <f t="shared" si="4"/>
        <v>70059</v>
      </c>
      <c r="X6" s="65">
        <f t="shared" si="4"/>
        <v>68549</v>
      </c>
      <c r="Y6" s="60">
        <f t="shared" si="2"/>
        <v>67039</v>
      </c>
      <c r="Z6" s="52" t="s">
        <v>2</v>
      </c>
      <c r="AB6" s="56" t="s">
        <v>3</v>
      </c>
      <c r="AC6" s="57">
        <v>23834</v>
      </c>
      <c r="AD6" s="57">
        <v>23269</v>
      </c>
      <c r="AE6" s="57">
        <v>23019</v>
      </c>
      <c r="AF6" s="57">
        <v>22750</v>
      </c>
      <c r="AG6" s="57">
        <v>22412</v>
      </c>
      <c r="AH6" s="57">
        <v>22188</v>
      </c>
      <c r="AI6" s="57">
        <v>22076</v>
      </c>
      <c r="AJ6" s="57">
        <v>21836</v>
      </c>
      <c r="AK6" s="57">
        <v>21629</v>
      </c>
    </row>
    <row r="7" spans="1:37" x14ac:dyDescent="0.35">
      <c r="A7" s="66" t="s">
        <v>3</v>
      </c>
      <c r="B7" s="59" t="s">
        <v>3</v>
      </c>
      <c r="C7" s="65"/>
      <c r="D7" s="65">
        <v>23834</v>
      </c>
      <c r="E7" s="65">
        <v>23269</v>
      </c>
      <c r="F7" s="65">
        <v>23019</v>
      </c>
      <c r="G7" s="65">
        <v>22750</v>
      </c>
      <c r="H7" s="65">
        <v>22412</v>
      </c>
      <c r="I7" s="65">
        <v>22188</v>
      </c>
      <c r="J7" s="65">
        <v>22076</v>
      </c>
      <c r="K7" s="65">
        <v>21836</v>
      </c>
      <c r="L7" s="65">
        <v>21629</v>
      </c>
      <c r="M7" s="67">
        <v>18315</v>
      </c>
      <c r="P7" s="65">
        <f t="shared" si="0"/>
        <v>21629</v>
      </c>
      <c r="Q7" s="65">
        <f t="shared" si="3"/>
        <v>21261</v>
      </c>
      <c r="R7" s="65">
        <f t="shared" si="4"/>
        <v>20893</v>
      </c>
      <c r="S7" s="65">
        <f t="shared" si="4"/>
        <v>20524</v>
      </c>
      <c r="T7" s="65">
        <f t="shared" si="4"/>
        <v>20156</v>
      </c>
      <c r="U7" s="65">
        <f t="shared" si="4"/>
        <v>19788</v>
      </c>
      <c r="V7" s="65">
        <f t="shared" si="4"/>
        <v>19420</v>
      </c>
      <c r="W7" s="65">
        <f t="shared" si="4"/>
        <v>19051</v>
      </c>
      <c r="X7" s="65">
        <f t="shared" si="4"/>
        <v>18683</v>
      </c>
      <c r="Y7" s="60">
        <f t="shared" si="2"/>
        <v>18315</v>
      </c>
      <c r="Z7" s="52" t="s">
        <v>3</v>
      </c>
      <c r="AB7" s="56" t="s">
        <v>4</v>
      </c>
      <c r="AC7" s="57">
        <v>50481</v>
      </c>
      <c r="AD7" s="57">
        <v>49750</v>
      </c>
      <c r="AE7" s="57">
        <v>49646</v>
      </c>
      <c r="AF7" s="57">
        <v>49182</v>
      </c>
      <c r="AG7" s="57">
        <v>48606</v>
      </c>
      <c r="AH7" s="57">
        <v>49073</v>
      </c>
      <c r="AI7" s="57">
        <v>49325</v>
      </c>
      <c r="AJ7" s="57">
        <v>49985</v>
      </c>
      <c r="AK7" s="57">
        <v>50248</v>
      </c>
    </row>
    <row r="8" spans="1:37" x14ac:dyDescent="0.35">
      <c r="A8" s="66" t="s">
        <v>4</v>
      </c>
      <c r="B8" s="59" t="s">
        <v>4</v>
      </c>
      <c r="C8" s="65"/>
      <c r="D8" s="65">
        <v>50481</v>
      </c>
      <c r="E8" s="65">
        <v>49750</v>
      </c>
      <c r="F8" s="65">
        <v>49646</v>
      </c>
      <c r="G8" s="65">
        <v>49182</v>
      </c>
      <c r="H8" s="65">
        <v>48606</v>
      </c>
      <c r="I8" s="65">
        <v>49073</v>
      </c>
      <c r="J8" s="65">
        <v>49325</v>
      </c>
      <c r="K8" s="65">
        <v>49985</v>
      </c>
      <c r="L8" s="65">
        <v>50248</v>
      </c>
      <c r="M8" s="67">
        <v>46404</v>
      </c>
      <c r="P8" s="65">
        <f t="shared" si="0"/>
        <v>50248</v>
      </c>
      <c r="Q8" s="65">
        <f t="shared" si="3"/>
        <v>49821</v>
      </c>
      <c r="R8" s="65">
        <f t="shared" si="4"/>
        <v>49394</v>
      </c>
      <c r="S8" s="65">
        <f t="shared" si="4"/>
        <v>48967</v>
      </c>
      <c r="T8" s="65">
        <f t="shared" si="4"/>
        <v>48540</v>
      </c>
      <c r="U8" s="65">
        <f t="shared" si="4"/>
        <v>48112</v>
      </c>
      <c r="V8" s="65">
        <f t="shared" si="4"/>
        <v>47685</v>
      </c>
      <c r="W8" s="65">
        <f t="shared" si="4"/>
        <v>47258</v>
      </c>
      <c r="X8" s="65">
        <f t="shared" si="4"/>
        <v>46831</v>
      </c>
      <c r="Y8" s="60">
        <f t="shared" si="2"/>
        <v>46404</v>
      </c>
      <c r="Z8" s="52" t="s">
        <v>4</v>
      </c>
      <c r="AB8" s="56" t="s">
        <v>293</v>
      </c>
      <c r="AC8" s="57">
        <v>151950</v>
      </c>
      <c r="AD8" s="57">
        <v>149431</v>
      </c>
      <c r="AE8" s="57">
        <v>147323</v>
      </c>
      <c r="AF8" s="57">
        <v>144555</v>
      </c>
      <c r="AG8" s="57">
        <v>141512</v>
      </c>
      <c r="AH8" s="57">
        <v>138997</v>
      </c>
      <c r="AI8" s="57">
        <v>136791</v>
      </c>
      <c r="AJ8" s="57">
        <v>136472</v>
      </c>
      <c r="AK8" s="57">
        <v>134686</v>
      </c>
    </row>
    <row r="9" spans="1:37" x14ac:dyDescent="0.35">
      <c r="A9" s="66" t="s">
        <v>5</v>
      </c>
      <c r="B9" s="59" t="s">
        <v>5</v>
      </c>
      <c r="C9" s="65"/>
      <c r="D9" s="65">
        <v>57773</v>
      </c>
      <c r="E9" s="65">
        <v>57332</v>
      </c>
      <c r="F9" s="65">
        <v>57180</v>
      </c>
      <c r="G9" s="65">
        <v>57053</v>
      </c>
      <c r="H9" s="65">
        <v>56743</v>
      </c>
      <c r="I9" s="65">
        <v>56383</v>
      </c>
      <c r="J9" s="65">
        <v>55972</v>
      </c>
      <c r="K9" s="65">
        <v>55517</v>
      </c>
      <c r="L9" s="65">
        <v>55336</v>
      </c>
      <c r="M9" s="67">
        <v>51280</v>
      </c>
      <c r="P9" s="65">
        <f t="shared" si="0"/>
        <v>55336</v>
      </c>
      <c r="Q9" s="65">
        <f t="shared" si="3"/>
        <v>54885</v>
      </c>
      <c r="R9" s="65">
        <f t="shared" si="4"/>
        <v>54435</v>
      </c>
      <c r="S9" s="65">
        <f t="shared" si="4"/>
        <v>53984</v>
      </c>
      <c r="T9" s="65">
        <f t="shared" si="4"/>
        <v>53533</v>
      </c>
      <c r="U9" s="65">
        <f t="shared" si="4"/>
        <v>53083</v>
      </c>
      <c r="V9" s="65">
        <f t="shared" si="4"/>
        <v>52632</v>
      </c>
      <c r="W9" s="65">
        <f t="shared" si="4"/>
        <v>52181</v>
      </c>
      <c r="X9" s="65">
        <f t="shared" si="4"/>
        <v>51731</v>
      </c>
      <c r="Y9" s="60">
        <f t="shared" si="2"/>
        <v>51280</v>
      </c>
      <c r="Z9" s="52" t="s">
        <v>5</v>
      </c>
      <c r="AB9" s="56" t="s">
        <v>296</v>
      </c>
      <c r="AC9" s="57">
        <v>172734</v>
      </c>
      <c r="AD9" s="57">
        <v>168887</v>
      </c>
      <c r="AE9" s="57">
        <v>165829</v>
      </c>
      <c r="AF9" s="57">
        <v>161988</v>
      </c>
      <c r="AG9" s="57">
        <v>157445</v>
      </c>
      <c r="AH9" s="57">
        <v>153451</v>
      </c>
      <c r="AI9" s="57">
        <v>149802</v>
      </c>
      <c r="AJ9" s="57">
        <v>148501</v>
      </c>
      <c r="AK9" s="57">
        <v>145216</v>
      </c>
    </row>
    <row r="10" spans="1:37" x14ac:dyDescent="0.35">
      <c r="A10" s="66" t="s">
        <v>6</v>
      </c>
      <c r="B10" s="59" t="s">
        <v>6</v>
      </c>
      <c r="C10" s="65"/>
      <c r="D10" s="65">
        <v>73469</v>
      </c>
      <c r="E10" s="65">
        <v>71926</v>
      </c>
      <c r="F10" s="65">
        <v>71125</v>
      </c>
      <c r="G10" s="65">
        <v>70630</v>
      </c>
      <c r="H10" s="65">
        <v>69443</v>
      </c>
      <c r="I10" s="65">
        <v>69180</v>
      </c>
      <c r="J10" s="65">
        <v>68945</v>
      </c>
      <c r="K10" s="65">
        <v>68313</v>
      </c>
      <c r="L10" s="65">
        <v>67964</v>
      </c>
      <c r="M10" s="67">
        <v>57267</v>
      </c>
      <c r="P10" s="65">
        <f t="shared" si="0"/>
        <v>67964</v>
      </c>
      <c r="Q10" s="65">
        <f t="shared" si="3"/>
        <v>66775</v>
      </c>
      <c r="R10" s="65">
        <f t="shared" si="4"/>
        <v>65587</v>
      </c>
      <c r="S10" s="65">
        <f t="shared" si="4"/>
        <v>64398</v>
      </c>
      <c r="T10" s="65">
        <f t="shared" si="4"/>
        <v>63210</v>
      </c>
      <c r="U10" s="65">
        <f t="shared" si="4"/>
        <v>62021</v>
      </c>
      <c r="V10" s="65">
        <f t="shared" si="4"/>
        <v>60833</v>
      </c>
      <c r="W10" s="65">
        <f t="shared" si="4"/>
        <v>59644</v>
      </c>
      <c r="X10" s="65">
        <f t="shared" si="4"/>
        <v>58456</v>
      </c>
      <c r="Y10" s="60">
        <f t="shared" si="2"/>
        <v>57267</v>
      </c>
      <c r="Z10" s="52" t="s">
        <v>6</v>
      </c>
      <c r="AB10" s="56" t="s">
        <v>6</v>
      </c>
      <c r="AC10" s="57">
        <v>73469</v>
      </c>
      <c r="AD10" s="57">
        <v>71926</v>
      </c>
      <c r="AE10" s="57">
        <v>71125</v>
      </c>
      <c r="AF10" s="57">
        <v>70630</v>
      </c>
      <c r="AG10" s="57">
        <v>69443</v>
      </c>
      <c r="AH10" s="57">
        <v>69180</v>
      </c>
      <c r="AI10" s="57">
        <v>68945</v>
      </c>
      <c r="AJ10" s="57">
        <v>68313</v>
      </c>
      <c r="AK10" s="57">
        <v>67964</v>
      </c>
    </row>
    <row r="11" spans="1:37" x14ac:dyDescent="0.35">
      <c r="A11" s="66" t="s">
        <v>7</v>
      </c>
      <c r="B11" s="59" t="s">
        <v>7</v>
      </c>
      <c r="C11" s="65"/>
      <c r="D11" s="65">
        <v>30756</v>
      </c>
      <c r="E11" s="65">
        <v>29948</v>
      </c>
      <c r="F11" s="65">
        <v>29317</v>
      </c>
      <c r="G11" s="65">
        <v>28692</v>
      </c>
      <c r="H11" s="65">
        <v>28174</v>
      </c>
      <c r="I11" s="65">
        <v>28156</v>
      </c>
      <c r="J11" s="65">
        <v>27820</v>
      </c>
      <c r="K11" s="65">
        <v>27100</v>
      </c>
      <c r="L11" s="65">
        <v>26839</v>
      </c>
      <c r="M11" s="67">
        <v>21662</v>
      </c>
      <c r="P11" s="65">
        <f t="shared" si="0"/>
        <v>26839</v>
      </c>
      <c r="Q11" s="65">
        <f t="shared" si="3"/>
        <v>26264</v>
      </c>
      <c r="R11" s="65">
        <f t="shared" si="4"/>
        <v>25689</v>
      </c>
      <c r="S11" s="65">
        <f t="shared" si="4"/>
        <v>25113</v>
      </c>
      <c r="T11" s="65">
        <f t="shared" si="4"/>
        <v>24538</v>
      </c>
      <c r="U11" s="65">
        <f t="shared" si="4"/>
        <v>23963</v>
      </c>
      <c r="V11" s="65">
        <f t="shared" si="4"/>
        <v>23388</v>
      </c>
      <c r="W11" s="65">
        <f t="shared" si="4"/>
        <v>22812</v>
      </c>
      <c r="X11" s="65">
        <f t="shared" si="4"/>
        <v>22237</v>
      </c>
      <c r="Y11" s="60">
        <f t="shared" si="2"/>
        <v>21662</v>
      </c>
      <c r="Z11" s="52" t="s">
        <v>7</v>
      </c>
      <c r="AB11" s="56" t="s">
        <v>292</v>
      </c>
      <c r="AC11" s="57">
        <v>319506</v>
      </c>
      <c r="AD11" s="57">
        <v>317288</v>
      </c>
      <c r="AE11" s="57">
        <v>317963</v>
      </c>
      <c r="AF11" s="57">
        <v>317165</v>
      </c>
      <c r="AG11" s="57">
        <v>316348</v>
      </c>
      <c r="AH11" s="57">
        <v>318193</v>
      </c>
      <c r="AI11" s="57">
        <v>321264</v>
      </c>
      <c r="AJ11" s="57">
        <v>325627</v>
      </c>
      <c r="AK11" s="57">
        <v>328734</v>
      </c>
    </row>
    <row r="12" spans="1:37" x14ac:dyDescent="0.35">
      <c r="A12" s="66" t="s">
        <v>8</v>
      </c>
      <c r="B12" s="59" t="s">
        <v>8</v>
      </c>
      <c r="C12" s="65"/>
      <c r="D12" s="65">
        <v>24228</v>
      </c>
      <c r="E12" s="65">
        <v>23657</v>
      </c>
      <c r="F12" s="65">
        <v>23432</v>
      </c>
      <c r="G12" s="65">
        <v>23248</v>
      </c>
      <c r="H12" s="65">
        <v>22961</v>
      </c>
      <c r="I12" s="65">
        <v>23063</v>
      </c>
      <c r="J12" s="65">
        <v>23125</v>
      </c>
      <c r="K12" s="65">
        <v>23018</v>
      </c>
      <c r="L12" s="65">
        <v>22971</v>
      </c>
      <c r="M12" s="67">
        <v>23000</v>
      </c>
      <c r="P12" s="65">
        <f t="shared" si="0"/>
        <v>22971</v>
      </c>
      <c r="Q12" s="65">
        <f t="shared" si="3"/>
        <v>22974</v>
      </c>
      <c r="R12" s="65">
        <f t="shared" si="4"/>
        <v>22977</v>
      </c>
      <c r="S12" s="65">
        <f t="shared" si="4"/>
        <v>22981</v>
      </c>
      <c r="T12" s="65">
        <f t="shared" si="4"/>
        <v>22984</v>
      </c>
      <c r="U12" s="65">
        <f t="shared" si="4"/>
        <v>22987</v>
      </c>
      <c r="V12" s="65">
        <f t="shared" si="4"/>
        <v>22990</v>
      </c>
      <c r="W12" s="65">
        <f t="shared" si="4"/>
        <v>22994</v>
      </c>
      <c r="X12" s="65">
        <f t="shared" si="4"/>
        <v>22997</v>
      </c>
      <c r="Y12" s="60">
        <f t="shared" si="2"/>
        <v>23000</v>
      </c>
      <c r="Z12" s="52" t="s">
        <v>8</v>
      </c>
      <c r="AB12" s="56" t="s">
        <v>7</v>
      </c>
      <c r="AC12" s="57">
        <v>30756</v>
      </c>
      <c r="AD12" s="57">
        <v>29948</v>
      </c>
      <c r="AE12" s="57">
        <v>29317</v>
      </c>
      <c r="AF12" s="57">
        <v>28692</v>
      </c>
      <c r="AG12" s="57">
        <v>28174</v>
      </c>
      <c r="AH12" s="57">
        <v>28156</v>
      </c>
      <c r="AI12" s="57">
        <v>27820</v>
      </c>
      <c r="AJ12" s="57">
        <v>27100</v>
      </c>
      <c r="AK12" s="57">
        <v>26839</v>
      </c>
    </row>
    <row r="13" spans="1:37" x14ac:dyDescent="0.35">
      <c r="A13" s="66" t="s">
        <v>9</v>
      </c>
      <c r="B13" s="59" t="s">
        <v>9</v>
      </c>
      <c r="C13" s="65"/>
      <c r="D13" s="65">
        <v>37336</v>
      </c>
      <c r="E13" s="65">
        <v>36677</v>
      </c>
      <c r="F13" s="65">
        <v>36274</v>
      </c>
      <c r="G13" s="65">
        <v>35903</v>
      </c>
      <c r="H13" s="65">
        <v>35362</v>
      </c>
      <c r="I13" s="65">
        <v>34855</v>
      </c>
      <c r="J13" s="65">
        <v>34377</v>
      </c>
      <c r="K13" s="65">
        <v>33799</v>
      </c>
      <c r="L13" s="65">
        <v>33372</v>
      </c>
      <c r="M13" s="67">
        <v>28680</v>
      </c>
      <c r="P13" s="65">
        <f t="shared" si="0"/>
        <v>33372</v>
      </c>
      <c r="Q13" s="65">
        <f t="shared" si="3"/>
        <v>32851</v>
      </c>
      <c r="R13" s="65">
        <f t="shared" si="4"/>
        <v>32329</v>
      </c>
      <c r="S13" s="65">
        <f t="shared" si="4"/>
        <v>31808</v>
      </c>
      <c r="T13" s="65">
        <f t="shared" si="4"/>
        <v>31287</v>
      </c>
      <c r="U13" s="65">
        <f t="shared" si="4"/>
        <v>30765</v>
      </c>
      <c r="V13" s="65">
        <f t="shared" si="4"/>
        <v>30244</v>
      </c>
      <c r="W13" s="65">
        <f t="shared" si="4"/>
        <v>29723</v>
      </c>
      <c r="X13" s="65">
        <f t="shared" si="4"/>
        <v>29201</v>
      </c>
      <c r="Y13" s="60">
        <f t="shared" si="2"/>
        <v>28680</v>
      </c>
      <c r="Z13" s="52" t="s">
        <v>9</v>
      </c>
      <c r="AB13" s="56" t="s">
        <v>1</v>
      </c>
      <c r="AC13" s="57">
        <v>643615</v>
      </c>
      <c r="AD13" s="57">
        <v>643368</v>
      </c>
      <c r="AE13" s="57">
        <v>641007</v>
      </c>
      <c r="AF13" s="57">
        <v>639630</v>
      </c>
      <c r="AG13" s="57">
        <v>641423</v>
      </c>
      <c r="AH13" s="57">
        <v>637971</v>
      </c>
      <c r="AI13" s="57">
        <v>632614</v>
      </c>
      <c r="AJ13" s="57">
        <v>621120</v>
      </c>
      <c r="AK13" s="57">
        <v>614618</v>
      </c>
    </row>
    <row r="14" spans="1:37" x14ac:dyDescent="0.35">
      <c r="A14" s="60" t="str">
        <f>VLOOKUP(B14,IKP!$Q$6:$R$124,2,FALSE)</f>
        <v>Latgales statistiskais reģions</v>
      </c>
      <c r="B14" s="59" t="s">
        <v>10</v>
      </c>
      <c r="C14" s="65"/>
      <c r="D14" s="65">
        <v>3800</v>
      </c>
      <c r="E14" s="65">
        <v>3731</v>
      </c>
      <c r="F14" s="65">
        <v>3669</v>
      </c>
      <c r="G14" s="65">
        <v>3567</v>
      </c>
      <c r="H14" s="65">
        <v>3436</v>
      </c>
      <c r="I14" s="65">
        <v>3309</v>
      </c>
      <c r="J14" s="65">
        <v>3191</v>
      </c>
      <c r="K14" s="65">
        <v>3133</v>
      </c>
      <c r="L14" s="65">
        <v>3042</v>
      </c>
      <c r="M14" s="67">
        <v>2391</v>
      </c>
      <c r="P14" s="65">
        <f t="shared" si="0"/>
        <v>3042</v>
      </c>
      <c r="Q14" s="65">
        <f t="shared" si="3"/>
        <v>2970</v>
      </c>
      <c r="R14" s="65">
        <f t="shared" si="4"/>
        <v>2897</v>
      </c>
      <c r="S14" s="65">
        <f t="shared" si="4"/>
        <v>2825</v>
      </c>
      <c r="T14" s="65">
        <f t="shared" si="4"/>
        <v>2753</v>
      </c>
      <c r="U14" s="65">
        <f t="shared" si="4"/>
        <v>2680</v>
      </c>
      <c r="V14" s="65">
        <f t="shared" si="4"/>
        <v>2608</v>
      </c>
      <c r="W14" s="65">
        <f t="shared" si="4"/>
        <v>2536</v>
      </c>
      <c r="X14" s="65">
        <f t="shared" si="4"/>
        <v>2463</v>
      </c>
      <c r="Y14" s="60">
        <f t="shared" si="2"/>
        <v>2391</v>
      </c>
      <c r="Z14" s="52" t="s">
        <v>296</v>
      </c>
      <c r="AB14" s="56" t="s">
        <v>8</v>
      </c>
      <c r="AC14" s="57">
        <v>24228</v>
      </c>
      <c r="AD14" s="57">
        <v>23657</v>
      </c>
      <c r="AE14" s="57">
        <v>23432</v>
      </c>
      <c r="AF14" s="57">
        <v>23248</v>
      </c>
      <c r="AG14" s="57">
        <v>22961</v>
      </c>
      <c r="AH14" s="57">
        <v>23063</v>
      </c>
      <c r="AI14" s="57">
        <v>23125</v>
      </c>
      <c r="AJ14" s="57">
        <v>23018</v>
      </c>
      <c r="AK14" s="57">
        <v>22971</v>
      </c>
    </row>
    <row r="15" spans="1:37" x14ac:dyDescent="0.35">
      <c r="A15" s="60" t="str">
        <f>VLOOKUP(B15,IKP!$Q$6:$R$124,2,FALSE)</f>
        <v>Zemgales statistiskais reģions</v>
      </c>
      <c r="B15" s="59" t="s">
        <v>11</v>
      </c>
      <c r="C15" s="65"/>
      <c r="D15" s="65">
        <v>8733</v>
      </c>
      <c r="E15" s="65">
        <v>8592</v>
      </c>
      <c r="F15" s="65">
        <v>8484</v>
      </c>
      <c r="G15" s="65">
        <v>8397</v>
      </c>
      <c r="H15" s="65">
        <v>8256</v>
      </c>
      <c r="I15" s="65">
        <v>8130</v>
      </c>
      <c r="J15" s="65">
        <v>8036</v>
      </c>
      <c r="K15" s="65">
        <v>8022</v>
      </c>
      <c r="L15" s="65">
        <v>8017</v>
      </c>
      <c r="M15" s="67">
        <v>6723</v>
      </c>
      <c r="P15" s="65">
        <f t="shared" si="0"/>
        <v>8017</v>
      </c>
      <c r="Q15" s="65">
        <f t="shared" si="3"/>
        <v>7873</v>
      </c>
      <c r="R15" s="65">
        <f t="shared" si="4"/>
        <v>7729</v>
      </c>
      <c r="S15" s="65">
        <f t="shared" si="4"/>
        <v>7586</v>
      </c>
      <c r="T15" s="65">
        <f t="shared" si="4"/>
        <v>7442</v>
      </c>
      <c r="U15" s="65">
        <f t="shared" si="4"/>
        <v>7298</v>
      </c>
      <c r="V15" s="65">
        <f t="shared" si="4"/>
        <v>7154</v>
      </c>
      <c r="W15" s="65">
        <f t="shared" si="4"/>
        <v>7011</v>
      </c>
      <c r="X15" s="65">
        <f t="shared" si="4"/>
        <v>6867</v>
      </c>
      <c r="Y15" s="60">
        <f t="shared" si="2"/>
        <v>6723</v>
      </c>
      <c r="Z15" s="52" t="s">
        <v>295</v>
      </c>
      <c r="AB15" s="56" t="s">
        <v>9</v>
      </c>
      <c r="AC15" s="57">
        <v>37336</v>
      </c>
      <c r="AD15" s="57">
        <v>36677</v>
      </c>
      <c r="AE15" s="57">
        <v>36274</v>
      </c>
      <c r="AF15" s="57">
        <v>35903</v>
      </c>
      <c r="AG15" s="57">
        <v>35362</v>
      </c>
      <c r="AH15" s="57">
        <v>34855</v>
      </c>
      <c r="AI15" s="57">
        <v>34377</v>
      </c>
      <c r="AJ15" s="57">
        <v>33799</v>
      </c>
      <c r="AK15" s="57">
        <v>33372</v>
      </c>
    </row>
    <row r="16" spans="1:37" x14ac:dyDescent="0.35">
      <c r="A16" s="60" t="str">
        <f>VLOOKUP(B16,IKP!$Q$6:$R$124,2,FALSE)</f>
        <v>Kurzemes statistiskais reģions</v>
      </c>
      <c r="B16" s="59" t="s">
        <v>12</v>
      </c>
      <c r="C16" s="65"/>
      <c r="D16" s="65">
        <v>9150</v>
      </c>
      <c r="E16" s="65">
        <v>9023</v>
      </c>
      <c r="F16" s="65">
        <v>8883</v>
      </c>
      <c r="G16" s="65">
        <v>8686</v>
      </c>
      <c r="H16" s="65">
        <v>8534</v>
      </c>
      <c r="I16" s="65">
        <v>8355</v>
      </c>
      <c r="J16" s="65">
        <v>8192</v>
      </c>
      <c r="K16" s="65">
        <v>8196</v>
      </c>
      <c r="L16" s="65">
        <v>8083</v>
      </c>
      <c r="M16" s="67">
        <v>6850</v>
      </c>
      <c r="P16" s="65">
        <f t="shared" si="0"/>
        <v>8083</v>
      </c>
      <c r="Q16" s="65">
        <f t="shared" si="3"/>
        <v>7946</v>
      </c>
      <c r="R16" s="65">
        <f t="shared" si="4"/>
        <v>7809</v>
      </c>
      <c r="S16" s="65">
        <f t="shared" si="4"/>
        <v>7672</v>
      </c>
      <c r="T16" s="65">
        <f t="shared" si="4"/>
        <v>7535</v>
      </c>
      <c r="U16" s="65">
        <f t="shared" si="4"/>
        <v>7398</v>
      </c>
      <c r="V16" s="65">
        <f t="shared" si="4"/>
        <v>7261</v>
      </c>
      <c r="W16" s="65">
        <f t="shared" si="4"/>
        <v>7124</v>
      </c>
      <c r="X16" s="65">
        <f t="shared" si="4"/>
        <v>6987</v>
      </c>
      <c r="Y16" s="60">
        <f t="shared" si="2"/>
        <v>6850</v>
      </c>
      <c r="Z16" s="52" t="s">
        <v>293</v>
      </c>
      <c r="AB16" s="56" t="s">
        <v>294</v>
      </c>
      <c r="AC16" s="57">
        <v>181721</v>
      </c>
      <c r="AD16" s="57">
        <v>178258</v>
      </c>
      <c r="AE16" s="57">
        <v>175595</v>
      </c>
      <c r="AF16" s="57">
        <v>172750</v>
      </c>
      <c r="AG16" s="57">
        <v>168833</v>
      </c>
      <c r="AH16" s="57">
        <v>165431</v>
      </c>
      <c r="AI16" s="57">
        <v>162970</v>
      </c>
      <c r="AJ16" s="57">
        <v>162495</v>
      </c>
      <c r="AK16" s="57">
        <v>160428</v>
      </c>
    </row>
    <row r="17" spans="1:37" x14ac:dyDescent="0.35">
      <c r="A17" s="60" t="str">
        <f>VLOOKUP(B17,IKP!$Q$6:$R$124,2,FALSE)</f>
        <v>Zemgales statistiskais reģions</v>
      </c>
      <c r="B17" s="59" t="s">
        <v>13</v>
      </c>
      <c r="C17" s="65"/>
      <c r="D17" s="65">
        <v>2897</v>
      </c>
      <c r="E17" s="65">
        <v>2878</v>
      </c>
      <c r="F17" s="65">
        <v>2836</v>
      </c>
      <c r="G17" s="65">
        <v>2776</v>
      </c>
      <c r="H17" s="65">
        <v>2791</v>
      </c>
      <c r="I17" s="65">
        <v>2557</v>
      </c>
      <c r="J17" s="65">
        <v>2492</v>
      </c>
      <c r="K17" s="65">
        <v>2576</v>
      </c>
      <c r="L17" s="65">
        <v>2546</v>
      </c>
      <c r="M17" s="67">
        <v>1934</v>
      </c>
      <c r="P17" s="65">
        <f t="shared" si="0"/>
        <v>2546</v>
      </c>
      <c r="Q17" s="65">
        <f t="shared" si="3"/>
        <v>2478</v>
      </c>
      <c r="R17" s="65">
        <f t="shared" si="4"/>
        <v>2410</v>
      </c>
      <c r="S17" s="65">
        <f t="shared" si="4"/>
        <v>2342</v>
      </c>
      <c r="T17" s="65">
        <f t="shared" si="4"/>
        <v>2274</v>
      </c>
      <c r="U17" s="65">
        <f t="shared" si="4"/>
        <v>2206</v>
      </c>
      <c r="V17" s="65">
        <f t="shared" si="4"/>
        <v>2138</v>
      </c>
      <c r="W17" s="65">
        <f t="shared" si="4"/>
        <v>2070</v>
      </c>
      <c r="X17" s="65">
        <f t="shared" si="4"/>
        <v>2002</v>
      </c>
      <c r="Y17" s="60">
        <f t="shared" si="2"/>
        <v>1934</v>
      </c>
      <c r="Z17" s="52" t="s">
        <v>295</v>
      </c>
      <c r="AB17" s="56" t="s">
        <v>295</v>
      </c>
      <c r="AC17" s="57">
        <v>167238</v>
      </c>
      <c r="AD17" s="57">
        <v>164274</v>
      </c>
      <c r="AE17" s="57">
        <v>161951</v>
      </c>
      <c r="AF17" s="57">
        <v>159553</v>
      </c>
      <c r="AG17" s="57">
        <v>156262</v>
      </c>
      <c r="AH17" s="57">
        <v>154188</v>
      </c>
      <c r="AI17" s="57">
        <v>152283</v>
      </c>
      <c r="AJ17" s="57">
        <v>152305</v>
      </c>
      <c r="AK17" s="57">
        <v>150555</v>
      </c>
    </row>
    <row r="18" spans="1:37" x14ac:dyDescent="0.35">
      <c r="A18" s="60" t="str">
        <f>VLOOKUP(B18,IKP!$Q$6:$R$124,2,FALSE)</f>
        <v>Pierīgas statistiskais reģions</v>
      </c>
      <c r="B18" s="59" t="s">
        <v>14</v>
      </c>
      <c r="C18" s="65"/>
      <c r="D18" s="65">
        <v>5197</v>
      </c>
      <c r="E18" s="65">
        <v>5088</v>
      </c>
      <c r="F18" s="65">
        <v>5000</v>
      </c>
      <c r="G18" s="65">
        <v>4889</v>
      </c>
      <c r="H18" s="65">
        <v>4785</v>
      </c>
      <c r="I18" s="65">
        <v>4680</v>
      </c>
      <c r="J18" s="65">
        <v>4630</v>
      </c>
      <c r="K18" s="65">
        <v>4627</v>
      </c>
      <c r="L18" s="65">
        <v>4520</v>
      </c>
      <c r="M18" s="67">
        <v>3731</v>
      </c>
      <c r="P18" s="65">
        <f t="shared" si="0"/>
        <v>4520</v>
      </c>
      <c r="Q18" s="65">
        <f t="shared" si="3"/>
        <v>4432</v>
      </c>
      <c r="R18" s="65">
        <f t="shared" si="4"/>
        <v>4345</v>
      </c>
      <c r="S18" s="65">
        <f t="shared" si="4"/>
        <v>4257</v>
      </c>
      <c r="T18" s="65">
        <f t="shared" si="4"/>
        <v>4169</v>
      </c>
      <c r="U18" s="65">
        <f t="shared" si="4"/>
        <v>4082</v>
      </c>
      <c r="V18" s="65">
        <f t="shared" si="4"/>
        <v>3994</v>
      </c>
      <c r="W18" s="65">
        <f t="shared" si="4"/>
        <v>3906</v>
      </c>
      <c r="X18" s="65">
        <f t="shared" si="4"/>
        <v>3819</v>
      </c>
      <c r="Y18" s="60">
        <f t="shared" si="2"/>
        <v>3731</v>
      </c>
      <c r="Z18" s="52" t="s">
        <v>292</v>
      </c>
      <c r="AB18" s="56" t="s">
        <v>317</v>
      </c>
      <c r="AC18" s="57">
        <v>2023825</v>
      </c>
      <c r="AD18" s="57">
        <v>2001468</v>
      </c>
      <c r="AE18" s="57">
        <v>1986096</v>
      </c>
      <c r="AF18" s="57">
        <v>1968957</v>
      </c>
      <c r="AG18" s="57">
        <v>1950116</v>
      </c>
      <c r="AH18" s="57">
        <v>1934379</v>
      </c>
      <c r="AI18" s="57">
        <v>1919968</v>
      </c>
      <c r="AJ18" s="57">
        <v>1907675</v>
      </c>
      <c r="AK18" s="57">
        <v>1893223</v>
      </c>
    </row>
    <row r="19" spans="1:37" x14ac:dyDescent="0.35">
      <c r="A19" s="60" t="str">
        <f>VLOOKUP(B19,IKP!$Q$6:$R$124,2,FALSE)</f>
        <v>Kurzemes statistiskais reģions</v>
      </c>
      <c r="B19" s="59" t="s">
        <v>15</v>
      </c>
      <c r="C19" s="65"/>
      <c r="D19" s="65">
        <v>1458</v>
      </c>
      <c r="E19" s="65">
        <v>1452</v>
      </c>
      <c r="F19" s="65">
        <v>1416</v>
      </c>
      <c r="G19" s="65">
        <v>1382</v>
      </c>
      <c r="H19" s="65">
        <v>1345</v>
      </c>
      <c r="I19" s="65">
        <v>1322</v>
      </c>
      <c r="J19" s="65">
        <v>1289</v>
      </c>
      <c r="K19" s="65">
        <v>1305</v>
      </c>
      <c r="L19" s="65">
        <v>1303</v>
      </c>
      <c r="M19" s="67">
        <v>1081</v>
      </c>
      <c r="P19" s="65">
        <f t="shared" si="0"/>
        <v>1303</v>
      </c>
      <c r="Q19" s="65">
        <f t="shared" si="3"/>
        <v>1278</v>
      </c>
      <c r="R19" s="65">
        <f t="shared" si="4"/>
        <v>1254</v>
      </c>
      <c r="S19" s="65">
        <f t="shared" si="4"/>
        <v>1229</v>
      </c>
      <c r="T19" s="65">
        <f t="shared" si="4"/>
        <v>1204</v>
      </c>
      <c r="U19" s="65">
        <f t="shared" si="4"/>
        <v>1180</v>
      </c>
      <c r="V19" s="65">
        <f t="shared" si="4"/>
        <v>1155</v>
      </c>
      <c r="W19" s="65">
        <f t="shared" si="4"/>
        <v>1130</v>
      </c>
      <c r="X19" s="65">
        <f t="shared" si="4"/>
        <v>1106</v>
      </c>
      <c r="Y19" s="60">
        <f t="shared" si="2"/>
        <v>1081</v>
      </c>
      <c r="Z19" s="52" t="s">
        <v>293</v>
      </c>
      <c r="AB19" s="4"/>
      <c r="AC19" s="4"/>
      <c r="AD19" s="4"/>
      <c r="AE19" s="4"/>
      <c r="AF19" s="4"/>
      <c r="AG19" s="4"/>
      <c r="AH19" s="4"/>
      <c r="AI19" s="4"/>
      <c r="AJ19" s="4"/>
      <c r="AK19" s="4"/>
    </row>
    <row r="20" spans="1:37" x14ac:dyDescent="0.35">
      <c r="A20" s="60" t="str">
        <f>VLOOKUP(B20,IKP!$Q$6:$R$124,2,FALSE)</f>
        <v>Vidzemes statistiskais reģions</v>
      </c>
      <c r="B20" s="59" t="s">
        <v>16</v>
      </c>
      <c r="C20" s="65"/>
      <c r="D20" s="65">
        <v>16418</v>
      </c>
      <c r="E20" s="65">
        <v>15972</v>
      </c>
      <c r="F20" s="65">
        <v>15648</v>
      </c>
      <c r="G20" s="65">
        <v>15381</v>
      </c>
      <c r="H20" s="65">
        <v>14896</v>
      </c>
      <c r="I20" s="65">
        <v>14472</v>
      </c>
      <c r="J20" s="65">
        <v>14153</v>
      </c>
      <c r="K20" s="65">
        <v>14050</v>
      </c>
      <c r="L20" s="65">
        <v>13861</v>
      </c>
      <c r="M20" s="67">
        <v>9979</v>
      </c>
      <c r="P20" s="65">
        <f t="shared" si="0"/>
        <v>13861</v>
      </c>
      <c r="Q20" s="65">
        <f t="shared" si="3"/>
        <v>13430</v>
      </c>
      <c r="R20" s="65">
        <f t="shared" si="3"/>
        <v>12998</v>
      </c>
      <c r="S20" s="65">
        <f t="shared" si="3"/>
        <v>12567</v>
      </c>
      <c r="T20" s="65">
        <f t="shared" si="3"/>
        <v>12136</v>
      </c>
      <c r="U20" s="65">
        <f t="shared" si="3"/>
        <v>11704</v>
      </c>
      <c r="V20" s="65">
        <f t="shared" si="3"/>
        <v>11273</v>
      </c>
      <c r="W20" s="65">
        <f t="shared" si="3"/>
        <v>10842</v>
      </c>
      <c r="X20" s="65">
        <f t="shared" si="3"/>
        <v>10410</v>
      </c>
      <c r="Y20" s="60">
        <f t="shared" si="2"/>
        <v>9979</v>
      </c>
      <c r="Z20" s="52" t="s">
        <v>294</v>
      </c>
      <c r="AB20" s="4"/>
      <c r="AC20" s="4"/>
      <c r="AD20" s="4"/>
    </row>
    <row r="21" spans="1:37" x14ac:dyDescent="0.35">
      <c r="A21" s="60" t="str">
        <f>VLOOKUP(B21,IKP!$Q$6:$R$124,2,FALSE)</f>
        <v>Vidzemes statistiskais reģions</v>
      </c>
      <c r="B21" s="59" t="s">
        <v>17</v>
      </c>
      <c r="C21" s="65"/>
      <c r="D21" s="65">
        <v>5589</v>
      </c>
      <c r="E21" s="65">
        <v>5462</v>
      </c>
      <c r="F21" s="65">
        <v>5388</v>
      </c>
      <c r="G21" s="65">
        <v>5337</v>
      </c>
      <c r="H21" s="65">
        <v>5163</v>
      </c>
      <c r="I21" s="65">
        <v>5003</v>
      </c>
      <c r="J21" s="65">
        <v>4983</v>
      </c>
      <c r="K21" s="65">
        <v>5048</v>
      </c>
      <c r="L21" s="65">
        <v>5042</v>
      </c>
      <c r="M21" s="67">
        <v>3764</v>
      </c>
      <c r="P21" s="65">
        <f t="shared" si="0"/>
        <v>5042</v>
      </c>
      <c r="Q21" s="65">
        <f t="shared" si="3"/>
        <v>4900</v>
      </c>
      <c r="R21" s="65">
        <f t="shared" si="3"/>
        <v>4758</v>
      </c>
      <c r="S21" s="65">
        <f t="shared" si="3"/>
        <v>4616</v>
      </c>
      <c r="T21" s="65">
        <f t="shared" si="3"/>
        <v>4474</v>
      </c>
      <c r="U21" s="65">
        <f t="shared" si="3"/>
        <v>4332</v>
      </c>
      <c r="V21" s="65">
        <f t="shared" si="3"/>
        <v>4190</v>
      </c>
      <c r="W21" s="65">
        <f t="shared" si="3"/>
        <v>4048</v>
      </c>
      <c r="X21" s="65">
        <f t="shared" si="3"/>
        <v>3906</v>
      </c>
      <c r="Y21" s="60">
        <f t="shared" si="2"/>
        <v>3764</v>
      </c>
      <c r="Z21" s="52" t="s">
        <v>294</v>
      </c>
    </row>
    <row r="22" spans="1:37" x14ac:dyDescent="0.35">
      <c r="A22" s="60" t="str">
        <f>VLOOKUP(B22,IKP!$Q$6:$R$124,2,FALSE)</f>
        <v>Vidzemes statistiskais reģions</v>
      </c>
      <c r="B22" s="59" t="s">
        <v>18</v>
      </c>
      <c r="C22" s="65"/>
      <c r="D22" s="65">
        <v>3718</v>
      </c>
      <c r="E22" s="65">
        <v>3643</v>
      </c>
      <c r="F22" s="65">
        <v>3579</v>
      </c>
      <c r="G22" s="65">
        <v>3528</v>
      </c>
      <c r="H22" s="65">
        <v>3415</v>
      </c>
      <c r="I22" s="65">
        <v>3345</v>
      </c>
      <c r="J22" s="65">
        <v>3295</v>
      </c>
      <c r="K22" s="65">
        <v>3260</v>
      </c>
      <c r="L22" s="65">
        <v>3205</v>
      </c>
      <c r="M22" s="67">
        <v>2476</v>
      </c>
      <c r="P22" s="65">
        <f t="shared" si="0"/>
        <v>3205</v>
      </c>
      <c r="Q22" s="65">
        <f t="shared" si="3"/>
        <v>3124</v>
      </c>
      <c r="R22" s="65">
        <f t="shared" si="3"/>
        <v>3043</v>
      </c>
      <c r="S22" s="65">
        <f t="shared" si="3"/>
        <v>2962</v>
      </c>
      <c r="T22" s="65">
        <f t="shared" si="3"/>
        <v>2881</v>
      </c>
      <c r="U22" s="65">
        <f t="shared" si="3"/>
        <v>2800</v>
      </c>
      <c r="V22" s="65">
        <f t="shared" si="3"/>
        <v>2719</v>
      </c>
      <c r="W22" s="65">
        <f t="shared" si="3"/>
        <v>2638</v>
      </c>
      <c r="X22" s="65">
        <f t="shared" si="3"/>
        <v>2557</v>
      </c>
      <c r="Y22" s="60">
        <f t="shared" si="2"/>
        <v>2476</v>
      </c>
      <c r="Z22" s="52" t="s">
        <v>294</v>
      </c>
      <c r="AB22" s="4" t="s">
        <v>316</v>
      </c>
      <c r="AC22" s="4" t="s">
        <v>326</v>
      </c>
      <c r="AD22" s="4" t="s">
        <v>328</v>
      </c>
      <c r="AE22" s="4" t="s">
        <v>329</v>
      </c>
      <c r="AF22" s="4" t="s">
        <v>483</v>
      </c>
    </row>
    <row r="23" spans="1:37" x14ac:dyDescent="0.35">
      <c r="A23" s="60" t="str">
        <f>VLOOKUP(B23,IKP!$Q$6:$R$124,2,FALSE)</f>
        <v>Zemgales statistiskais reģions</v>
      </c>
      <c r="B23" s="59" t="s">
        <v>19</v>
      </c>
      <c r="C23" s="65"/>
      <c r="D23" s="65">
        <v>7093</v>
      </c>
      <c r="E23" s="65">
        <v>6879</v>
      </c>
      <c r="F23" s="65">
        <v>6762</v>
      </c>
      <c r="G23" s="65">
        <v>6605</v>
      </c>
      <c r="H23" s="65">
        <v>6413</v>
      </c>
      <c r="I23" s="65">
        <v>6289</v>
      </c>
      <c r="J23" s="65">
        <v>6153</v>
      </c>
      <c r="K23" s="65">
        <v>6163</v>
      </c>
      <c r="L23" s="65">
        <v>6025</v>
      </c>
      <c r="M23" s="67">
        <v>4706</v>
      </c>
      <c r="P23" s="65">
        <f t="shared" si="0"/>
        <v>6025</v>
      </c>
      <c r="Q23" s="65">
        <f t="shared" si="3"/>
        <v>5878</v>
      </c>
      <c r="R23" s="65">
        <f t="shared" si="3"/>
        <v>5732</v>
      </c>
      <c r="S23" s="65">
        <f t="shared" si="3"/>
        <v>5585</v>
      </c>
      <c r="T23" s="65">
        <f t="shared" si="3"/>
        <v>5439</v>
      </c>
      <c r="U23" s="65">
        <f t="shared" si="3"/>
        <v>5292</v>
      </c>
      <c r="V23" s="65">
        <f t="shared" si="3"/>
        <v>5146</v>
      </c>
      <c r="W23" s="65">
        <f t="shared" si="3"/>
        <v>4999</v>
      </c>
      <c r="X23" s="65">
        <f t="shared" si="3"/>
        <v>4853</v>
      </c>
      <c r="Y23" s="60">
        <f t="shared" si="2"/>
        <v>4706</v>
      </c>
      <c r="Z23" s="52" t="s">
        <v>295</v>
      </c>
      <c r="AB23" s="56" t="s">
        <v>2</v>
      </c>
      <c r="AC23" s="57">
        <v>80627</v>
      </c>
      <c r="AD23" s="57">
        <v>79117</v>
      </c>
      <c r="AE23" s="57">
        <v>77607</v>
      </c>
      <c r="AF23" s="57">
        <v>67039</v>
      </c>
    </row>
    <row r="24" spans="1:37" x14ac:dyDescent="0.35">
      <c r="A24" s="60" t="str">
        <f>VLOOKUP(B24,IKP!$Q$6:$R$124,2,FALSE)</f>
        <v>Pierīgas statistiskais reģions</v>
      </c>
      <c r="B24" s="59" t="s">
        <v>20</v>
      </c>
      <c r="C24" s="65"/>
      <c r="D24" s="65">
        <v>10092</v>
      </c>
      <c r="E24" s="65">
        <v>10238</v>
      </c>
      <c r="F24" s="65">
        <v>10414</v>
      </c>
      <c r="G24" s="65">
        <v>10524</v>
      </c>
      <c r="H24" s="65">
        <v>10735</v>
      </c>
      <c r="I24" s="65">
        <v>11184</v>
      </c>
      <c r="J24" s="65">
        <v>11391</v>
      </c>
      <c r="K24" s="65">
        <v>11558</v>
      </c>
      <c r="L24" s="65">
        <v>11824</v>
      </c>
      <c r="M24" s="67">
        <v>13864</v>
      </c>
      <c r="P24" s="65">
        <f t="shared" si="0"/>
        <v>11824</v>
      </c>
      <c r="Q24" s="65">
        <f t="shared" si="3"/>
        <v>12051</v>
      </c>
      <c r="R24" s="65">
        <f t="shared" si="3"/>
        <v>12277</v>
      </c>
      <c r="S24" s="65">
        <f t="shared" si="3"/>
        <v>12504</v>
      </c>
      <c r="T24" s="65">
        <f t="shared" si="3"/>
        <v>12731</v>
      </c>
      <c r="U24" s="65">
        <f t="shared" si="3"/>
        <v>12957</v>
      </c>
      <c r="V24" s="65">
        <f t="shared" si="3"/>
        <v>13184</v>
      </c>
      <c r="W24" s="65">
        <f t="shared" si="3"/>
        <v>13411</v>
      </c>
      <c r="X24" s="65">
        <f t="shared" si="3"/>
        <v>13637</v>
      </c>
      <c r="Y24" s="60">
        <f t="shared" si="2"/>
        <v>13864</v>
      </c>
      <c r="Z24" s="52" t="s">
        <v>292</v>
      </c>
      <c r="AB24" s="56" t="s">
        <v>5</v>
      </c>
      <c r="AC24" s="57">
        <v>55336</v>
      </c>
      <c r="AD24" s="57">
        <v>54885</v>
      </c>
      <c r="AE24" s="57">
        <v>54435</v>
      </c>
      <c r="AF24" s="57">
        <v>51280</v>
      </c>
    </row>
    <row r="25" spans="1:37" x14ac:dyDescent="0.35">
      <c r="A25" s="60" t="str">
        <f>VLOOKUP(B25,IKP!$Q$6:$R$124,2,FALSE)</f>
        <v>Pierīgas statistiskais reģions</v>
      </c>
      <c r="B25" s="59" t="s">
        <v>21</v>
      </c>
      <c r="C25" s="65"/>
      <c r="D25" s="65">
        <v>9515</v>
      </c>
      <c r="E25" s="65">
        <v>9630</v>
      </c>
      <c r="F25" s="65">
        <v>9800</v>
      </c>
      <c r="G25" s="65">
        <v>9825</v>
      </c>
      <c r="H25" s="65">
        <v>10119</v>
      </c>
      <c r="I25" s="65">
        <v>10350</v>
      </c>
      <c r="J25" s="65">
        <v>10704</v>
      </c>
      <c r="K25" s="65">
        <v>10980</v>
      </c>
      <c r="L25" s="65">
        <v>11247</v>
      </c>
      <c r="M25" s="67">
        <v>12192</v>
      </c>
      <c r="P25" s="65">
        <f t="shared" si="0"/>
        <v>11247</v>
      </c>
      <c r="Q25" s="65">
        <f t="shared" si="3"/>
        <v>11352</v>
      </c>
      <c r="R25" s="65">
        <f t="shared" si="3"/>
        <v>11457</v>
      </c>
      <c r="S25" s="65">
        <f t="shared" si="3"/>
        <v>11562</v>
      </c>
      <c r="T25" s="65">
        <f t="shared" si="3"/>
        <v>11667</v>
      </c>
      <c r="U25" s="65">
        <f t="shared" si="3"/>
        <v>11772</v>
      </c>
      <c r="V25" s="65">
        <f t="shared" si="3"/>
        <v>11877</v>
      </c>
      <c r="W25" s="65">
        <f t="shared" si="3"/>
        <v>11982</v>
      </c>
      <c r="X25" s="65">
        <f t="shared" si="3"/>
        <v>12087</v>
      </c>
      <c r="Y25" s="60">
        <f t="shared" si="2"/>
        <v>12192</v>
      </c>
      <c r="Z25" s="52" t="s">
        <v>292</v>
      </c>
      <c r="AB25" s="56" t="s">
        <v>3</v>
      </c>
      <c r="AC25" s="57">
        <v>21629</v>
      </c>
      <c r="AD25" s="57">
        <v>21261</v>
      </c>
      <c r="AE25" s="57">
        <v>20893</v>
      </c>
      <c r="AF25" s="57">
        <v>18315</v>
      </c>
    </row>
    <row r="26" spans="1:37" x14ac:dyDescent="0.35">
      <c r="A26" s="60" t="str">
        <f>VLOOKUP(B26,IKP!$Q$6:$R$124,2,FALSE)</f>
        <v>Pierīgas statistiskais reģions</v>
      </c>
      <c r="B26" s="59" t="s">
        <v>22</v>
      </c>
      <c r="C26" s="65"/>
      <c r="D26" s="65">
        <v>5473</v>
      </c>
      <c r="E26" s="65">
        <v>5400</v>
      </c>
      <c r="F26" s="65">
        <v>5435</v>
      </c>
      <c r="G26" s="65">
        <v>5416</v>
      </c>
      <c r="H26" s="65">
        <v>5373</v>
      </c>
      <c r="I26" s="65">
        <v>5485</v>
      </c>
      <c r="J26" s="65">
        <v>5468</v>
      </c>
      <c r="K26" s="65">
        <v>5370</v>
      </c>
      <c r="L26" s="65">
        <v>5446</v>
      </c>
      <c r="M26" s="67">
        <v>5673</v>
      </c>
      <c r="P26" s="65">
        <f t="shared" si="0"/>
        <v>5446</v>
      </c>
      <c r="Q26" s="65">
        <f t="shared" si="3"/>
        <v>5471</v>
      </c>
      <c r="R26" s="65">
        <f t="shared" si="3"/>
        <v>5496</v>
      </c>
      <c r="S26" s="65">
        <f t="shared" si="3"/>
        <v>5522</v>
      </c>
      <c r="T26" s="65">
        <f t="shared" si="3"/>
        <v>5547</v>
      </c>
      <c r="U26" s="65">
        <f t="shared" si="3"/>
        <v>5572</v>
      </c>
      <c r="V26" s="65">
        <f t="shared" si="3"/>
        <v>5597</v>
      </c>
      <c r="W26" s="65">
        <f t="shared" si="3"/>
        <v>5623</v>
      </c>
      <c r="X26" s="65">
        <f t="shared" si="3"/>
        <v>5648</v>
      </c>
      <c r="Y26" s="60">
        <f t="shared" si="2"/>
        <v>5673</v>
      </c>
      <c r="Z26" s="52" t="s">
        <v>292</v>
      </c>
      <c r="AB26" s="56" t="s">
        <v>4</v>
      </c>
      <c r="AC26" s="57">
        <v>50248</v>
      </c>
      <c r="AD26" s="57">
        <v>49821</v>
      </c>
      <c r="AE26" s="57">
        <v>49394</v>
      </c>
      <c r="AF26" s="57">
        <v>46404</v>
      </c>
    </row>
    <row r="27" spans="1:37" x14ac:dyDescent="0.35">
      <c r="A27" s="60" t="str">
        <f>VLOOKUP(B27,IKP!$Q$6:$R$124,2,FALSE)</f>
        <v>Latgales statistiskais reģions</v>
      </c>
      <c r="B27" s="59" t="s">
        <v>23</v>
      </c>
      <c r="C27" s="65"/>
      <c r="D27" s="65">
        <v>1137</v>
      </c>
      <c r="E27" s="65">
        <v>1112</v>
      </c>
      <c r="F27" s="65">
        <v>1085</v>
      </c>
      <c r="G27" s="65">
        <v>1054</v>
      </c>
      <c r="H27" s="65">
        <v>1036</v>
      </c>
      <c r="I27" s="65">
        <v>1000</v>
      </c>
      <c r="J27" s="65">
        <v>963</v>
      </c>
      <c r="K27" s="65">
        <v>984</v>
      </c>
      <c r="L27" s="65">
        <v>937</v>
      </c>
      <c r="M27" s="67">
        <v>738</v>
      </c>
      <c r="P27" s="65">
        <f t="shared" si="0"/>
        <v>937</v>
      </c>
      <c r="Q27" s="65">
        <f t="shared" si="3"/>
        <v>915</v>
      </c>
      <c r="R27" s="65">
        <f t="shared" si="3"/>
        <v>893</v>
      </c>
      <c r="S27" s="65">
        <f t="shared" si="3"/>
        <v>871</v>
      </c>
      <c r="T27" s="65">
        <f t="shared" si="3"/>
        <v>849</v>
      </c>
      <c r="U27" s="65">
        <f t="shared" si="3"/>
        <v>826</v>
      </c>
      <c r="V27" s="65">
        <f t="shared" si="3"/>
        <v>804</v>
      </c>
      <c r="W27" s="65">
        <f t="shared" si="3"/>
        <v>782</v>
      </c>
      <c r="X27" s="65">
        <f t="shared" si="3"/>
        <v>760</v>
      </c>
      <c r="Y27" s="60">
        <f t="shared" si="2"/>
        <v>738</v>
      </c>
      <c r="Z27" s="52" t="s">
        <v>296</v>
      </c>
      <c r="AB27" s="56" t="s">
        <v>293</v>
      </c>
      <c r="AC27" s="57">
        <v>134686</v>
      </c>
      <c r="AD27" s="57">
        <v>132284</v>
      </c>
      <c r="AE27" s="57">
        <v>129883</v>
      </c>
      <c r="AF27" s="57">
        <v>113059</v>
      </c>
    </row>
    <row r="28" spans="1:37" x14ac:dyDescent="0.35">
      <c r="A28" s="60" t="str">
        <f>VLOOKUP(B28,IKP!$Q$6:$R$124,2,FALSE)</f>
        <v>Latgales statistiskais reģions</v>
      </c>
      <c r="B28" s="59" t="s">
        <v>24</v>
      </c>
      <c r="C28" s="65"/>
      <c r="D28" s="65">
        <v>13609</v>
      </c>
      <c r="E28" s="65">
        <v>13301</v>
      </c>
      <c r="F28" s="65">
        <v>13031</v>
      </c>
      <c r="G28" s="65">
        <v>12688</v>
      </c>
      <c r="H28" s="65">
        <v>12342</v>
      </c>
      <c r="I28" s="65">
        <v>12129</v>
      </c>
      <c r="J28" s="65">
        <v>11977</v>
      </c>
      <c r="K28" s="65">
        <v>11809</v>
      </c>
      <c r="L28" s="65">
        <v>11576</v>
      </c>
      <c r="M28" s="67">
        <v>9018</v>
      </c>
      <c r="P28" s="65">
        <f t="shared" si="0"/>
        <v>11576</v>
      </c>
      <c r="Q28" s="65">
        <f t="shared" si="3"/>
        <v>11292</v>
      </c>
      <c r="R28" s="65">
        <f t="shared" si="3"/>
        <v>11008</v>
      </c>
      <c r="S28" s="65">
        <f t="shared" si="3"/>
        <v>10723</v>
      </c>
      <c r="T28" s="65">
        <f t="shared" si="3"/>
        <v>10439</v>
      </c>
      <c r="U28" s="65">
        <f t="shared" si="3"/>
        <v>10155</v>
      </c>
      <c r="V28" s="65">
        <f t="shared" si="3"/>
        <v>9871</v>
      </c>
      <c r="W28" s="65">
        <f t="shared" si="3"/>
        <v>9586</v>
      </c>
      <c r="X28" s="65">
        <f t="shared" si="3"/>
        <v>9302</v>
      </c>
      <c r="Y28" s="60">
        <f t="shared" si="2"/>
        <v>9018</v>
      </c>
      <c r="Z28" s="52" t="s">
        <v>296</v>
      </c>
      <c r="AB28" s="56" t="s">
        <v>296</v>
      </c>
      <c r="AC28" s="57">
        <v>145216</v>
      </c>
      <c r="AD28" s="57">
        <v>141884</v>
      </c>
      <c r="AE28" s="57">
        <v>138552</v>
      </c>
      <c r="AF28" s="57">
        <v>115225</v>
      </c>
    </row>
    <row r="29" spans="1:37" x14ac:dyDescent="0.35">
      <c r="A29" s="60" t="str">
        <f>VLOOKUP(B29,IKP!$Q$6:$R$124,2,FALSE)</f>
        <v>Zemgales statistiskais reģions</v>
      </c>
      <c r="B29" s="59" t="s">
        <v>25</v>
      </c>
      <c r="C29" s="65"/>
      <c r="D29" s="65">
        <v>24946</v>
      </c>
      <c r="E29" s="65">
        <v>24615</v>
      </c>
      <c r="F29" s="65">
        <v>24308</v>
      </c>
      <c r="G29" s="65">
        <v>23930</v>
      </c>
      <c r="H29" s="65">
        <v>23387</v>
      </c>
      <c r="I29" s="65">
        <v>23061</v>
      </c>
      <c r="J29" s="65">
        <v>22784</v>
      </c>
      <c r="K29" s="65">
        <v>22546</v>
      </c>
      <c r="L29" s="65">
        <v>22259</v>
      </c>
      <c r="M29" s="67">
        <v>19017</v>
      </c>
      <c r="P29" s="65">
        <f t="shared" si="0"/>
        <v>22259</v>
      </c>
      <c r="Q29" s="65">
        <f t="shared" si="3"/>
        <v>21899</v>
      </c>
      <c r="R29" s="65">
        <f t="shared" si="3"/>
        <v>21539</v>
      </c>
      <c r="S29" s="65">
        <f t="shared" si="3"/>
        <v>21178</v>
      </c>
      <c r="T29" s="65">
        <f t="shared" si="3"/>
        <v>20818</v>
      </c>
      <c r="U29" s="65">
        <f t="shared" si="3"/>
        <v>20458</v>
      </c>
      <c r="V29" s="65">
        <f t="shared" si="3"/>
        <v>20098</v>
      </c>
      <c r="W29" s="65">
        <f t="shared" si="3"/>
        <v>19737</v>
      </c>
      <c r="X29" s="65">
        <f t="shared" si="3"/>
        <v>19377</v>
      </c>
      <c r="Y29" s="60">
        <f t="shared" si="2"/>
        <v>19017</v>
      </c>
      <c r="Z29" s="52" t="s">
        <v>295</v>
      </c>
      <c r="AB29" s="56" t="s">
        <v>6</v>
      </c>
      <c r="AC29" s="57">
        <v>67964</v>
      </c>
      <c r="AD29" s="57">
        <v>66775</v>
      </c>
      <c r="AE29" s="57">
        <v>65587</v>
      </c>
      <c r="AF29" s="57">
        <v>57267</v>
      </c>
    </row>
    <row r="30" spans="1:37" x14ac:dyDescent="0.35">
      <c r="A30" s="60" t="str">
        <f>VLOOKUP(B30,IKP!$Q$6:$R$124,2,FALSE)</f>
        <v>Vidzemes statistiskais reģions</v>
      </c>
      <c r="B30" s="59" t="s">
        <v>26</v>
      </c>
      <c r="C30" s="65"/>
      <c r="D30" s="65">
        <v>3299</v>
      </c>
      <c r="E30" s="65">
        <v>3231</v>
      </c>
      <c r="F30" s="65">
        <v>3186</v>
      </c>
      <c r="G30" s="65">
        <v>3140</v>
      </c>
      <c r="H30" s="65">
        <v>3051</v>
      </c>
      <c r="I30" s="65">
        <v>3006</v>
      </c>
      <c r="J30" s="65">
        <v>2949</v>
      </c>
      <c r="K30" s="65">
        <v>2990</v>
      </c>
      <c r="L30" s="65">
        <v>2948</v>
      </c>
      <c r="M30" s="67">
        <v>2469</v>
      </c>
      <c r="P30" s="65">
        <f t="shared" si="0"/>
        <v>2948</v>
      </c>
      <c r="Q30" s="65">
        <f t="shared" si="3"/>
        <v>2895</v>
      </c>
      <c r="R30" s="65">
        <f t="shared" si="3"/>
        <v>2842</v>
      </c>
      <c r="S30" s="65">
        <f t="shared" si="3"/>
        <v>2788</v>
      </c>
      <c r="T30" s="65">
        <f t="shared" si="3"/>
        <v>2735</v>
      </c>
      <c r="U30" s="65">
        <f t="shared" si="3"/>
        <v>2682</v>
      </c>
      <c r="V30" s="65">
        <f t="shared" si="3"/>
        <v>2629</v>
      </c>
      <c r="W30" s="65">
        <f t="shared" si="3"/>
        <v>2575</v>
      </c>
      <c r="X30" s="65">
        <f t="shared" si="3"/>
        <v>2522</v>
      </c>
      <c r="Y30" s="60">
        <f t="shared" si="2"/>
        <v>2469</v>
      </c>
      <c r="Z30" s="52" t="s">
        <v>294</v>
      </c>
      <c r="AB30" s="56" t="s">
        <v>292</v>
      </c>
      <c r="AC30" s="57">
        <v>328734</v>
      </c>
      <c r="AD30" s="57">
        <v>327720</v>
      </c>
      <c r="AE30" s="57">
        <v>326706</v>
      </c>
      <c r="AF30" s="57">
        <v>319596</v>
      </c>
    </row>
    <row r="31" spans="1:37" x14ac:dyDescent="0.35">
      <c r="A31" s="60" t="str">
        <f>VLOOKUP(B31,IKP!$Q$6:$R$124,2,FALSE)</f>
        <v>Kurzemes statistiskais reģions</v>
      </c>
      <c r="B31" s="59" t="s">
        <v>27</v>
      </c>
      <c r="C31" s="65"/>
      <c r="D31" s="65">
        <v>5981</v>
      </c>
      <c r="E31" s="65">
        <v>5828</v>
      </c>
      <c r="F31" s="65">
        <v>5785</v>
      </c>
      <c r="G31" s="65">
        <v>5674</v>
      </c>
      <c r="H31" s="65">
        <v>5558</v>
      </c>
      <c r="I31" s="65">
        <v>5622</v>
      </c>
      <c r="J31" s="65">
        <v>5634</v>
      </c>
      <c r="K31" s="65">
        <v>5685</v>
      </c>
      <c r="L31" s="65">
        <v>5672</v>
      </c>
      <c r="M31" s="67">
        <v>4630</v>
      </c>
      <c r="P31" s="65">
        <f t="shared" si="0"/>
        <v>5672</v>
      </c>
      <c r="Q31" s="65">
        <f t="shared" si="3"/>
        <v>5556</v>
      </c>
      <c r="R31" s="65">
        <f t="shared" si="3"/>
        <v>5440</v>
      </c>
      <c r="S31" s="65">
        <f t="shared" si="3"/>
        <v>5325</v>
      </c>
      <c r="T31" s="65">
        <f t="shared" si="3"/>
        <v>5209</v>
      </c>
      <c r="U31" s="65">
        <f t="shared" si="3"/>
        <v>5093</v>
      </c>
      <c r="V31" s="65">
        <f t="shared" si="3"/>
        <v>4977</v>
      </c>
      <c r="W31" s="65">
        <f t="shared" si="3"/>
        <v>4862</v>
      </c>
      <c r="X31" s="65">
        <f t="shared" si="3"/>
        <v>4746</v>
      </c>
      <c r="Y31" s="60">
        <f t="shared" si="2"/>
        <v>4630</v>
      </c>
      <c r="Z31" s="52" t="s">
        <v>293</v>
      </c>
      <c r="AB31" s="56" t="s">
        <v>7</v>
      </c>
      <c r="AC31" s="57">
        <v>26839</v>
      </c>
      <c r="AD31" s="57">
        <v>26264</v>
      </c>
      <c r="AE31" s="57">
        <v>25689</v>
      </c>
      <c r="AF31" s="57">
        <v>21662</v>
      </c>
    </row>
    <row r="32" spans="1:37" x14ac:dyDescent="0.35">
      <c r="A32" s="60" t="str">
        <f>VLOOKUP(B32,IKP!$Q$6:$R$124,2,FALSE)</f>
        <v>Vidzemes statistiskais reģions</v>
      </c>
      <c r="B32" s="59" t="s">
        <v>28</v>
      </c>
      <c r="C32" s="65"/>
      <c r="D32" s="65">
        <v>8162</v>
      </c>
      <c r="E32" s="65">
        <v>8128</v>
      </c>
      <c r="F32" s="65">
        <v>8112</v>
      </c>
      <c r="G32" s="65">
        <v>8150</v>
      </c>
      <c r="H32" s="65">
        <v>7977</v>
      </c>
      <c r="I32" s="65">
        <v>7584</v>
      </c>
      <c r="J32" s="65">
        <v>7485</v>
      </c>
      <c r="K32" s="65">
        <v>7430</v>
      </c>
      <c r="L32" s="65">
        <v>7410</v>
      </c>
      <c r="M32" s="67">
        <v>6545</v>
      </c>
      <c r="P32" s="65">
        <f t="shared" si="0"/>
        <v>7410</v>
      </c>
      <c r="Q32" s="65">
        <f t="shared" si="3"/>
        <v>7314</v>
      </c>
      <c r="R32" s="65">
        <f t="shared" si="3"/>
        <v>7218</v>
      </c>
      <c r="S32" s="65">
        <f t="shared" si="3"/>
        <v>7122</v>
      </c>
      <c r="T32" s="65">
        <f t="shared" si="3"/>
        <v>7026</v>
      </c>
      <c r="U32" s="65">
        <f t="shared" si="3"/>
        <v>6929</v>
      </c>
      <c r="V32" s="65">
        <f t="shared" si="3"/>
        <v>6833</v>
      </c>
      <c r="W32" s="65">
        <f t="shared" si="3"/>
        <v>6737</v>
      </c>
      <c r="X32" s="65">
        <f t="shared" si="3"/>
        <v>6641</v>
      </c>
      <c r="Y32" s="60">
        <f t="shared" si="2"/>
        <v>6545</v>
      </c>
      <c r="Z32" s="52" t="s">
        <v>294</v>
      </c>
      <c r="AB32" s="56" t="s">
        <v>1</v>
      </c>
      <c r="AC32" s="57">
        <v>614618</v>
      </c>
      <c r="AD32" s="57">
        <v>615772</v>
      </c>
      <c r="AE32" s="57">
        <v>616925</v>
      </c>
      <c r="AF32" s="57">
        <v>625000</v>
      </c>
    </row>
    <row r="33" spans="1:32" x14ac:dyDescent="0.35">
      <c r="A33" s="60" t="str">
        <f>VLOOKUP(B33,IKP!$Q$6:$R$124,2,FALSE)</f>
        <v>Pierīgas statistiskais reģions</v>
      </c>
      <c r="B33" s="59" t="s">
        <v>29</v>
      </c>
      <c r="C33" s="65"/>
      <c r="D33" s="65">
        <v>6780</v>
      </c>
      <c r="E33" s="65">
        <v>6788</v>
      </c>
      <c r="F33" s="65">
        <v>6805</v>
      </c>
      <c r="G33" s="65">
        <v>6858</v>
      </c>
      <c r="H33" s="65">
        <v>8334</v>
      </c>
      <c r="I33" s="65">
        <v>8626</v>
      </c>
      <c r="J33" s="65">
        <v>8738</v>
      </c>
      <c r="K33" s="65">
        <v>9110</v>
      </c>
      <c r="L33" s="65">
        <v>9310</v>
      </c>
      <c r="M33" s="67">
        <v>9126</v>
      </c>
      <c r="P33" s="65">
        <f t="shared" si="0"/>
        <v>9310</v>
      </c>
      <c r="Q33" s="65">
        <f t="shared" si="3"/>
        <v>9290</v>
      </c>
      <c r="R33" s="65">
        <f t="shared" si="3"/>
        <v>9269</v>
      </c>
      <c r="S33" s="65">
        <f t="shared" si="3"/>
        <v>9249</v>
      </c>
      <c r="T33" s="65">
        <f t="shared" si="3"/>
        <v>9228</v>
      </c>
      <c r="U33" s="65">
        <f t="shared" si="3"/>
        <v>9208</v>
      </c>
      <c r="V33" s="65">
        <f t="shared" si="3"/>
        <v>9187</v>
      </c>
      <c r="W33" s="65">
        <f t="shared" si="3"/>
        <v>9167</v>
      </c>
      <c r="X33" s="65">
        <f t="shared" si="3"/>
        <v>9146</v>
      </c>
      <c r="Y33" s="60">
        <f t="shared" si="2"/>
        <v>9126</v>
      </c>
      <c r="Z33" s="52" t="s">
        <v>292</v>
      </c>
      <c r="AB33" s="56" t="s">
        <v>8</v>
      </c>
      <c r="AC33" s="57">
        <v>22971</v>
      </c>
      <c r="AD33" s="57">
        <v>22974</v>
      </c>
      <c r="AE33" s="57">
        <v>22977</v>
      </c>
      <c r="AF33" s="57">
        <v>23000</v>
      </c>
    </row>
    <row r="34" spans="1:32" x14ac:dyDescent="0.35">
      <c r="A34" s="60" t="str">
        <f>VLOOKUP(B34,IKP!$Q$6:$R$124,2,FALSE)</f>
        <v>Vidzemes statistiskais reģions</v>
      </c>
      <c r="B34" s="59" t="s">
        <v>30</v>
      </c>
      <c r="C34" s="65"/>
      <c r="D34" s="65">
        <v>2774</v>
      </c>
      <c r="E34" s="65">
        <v>2697</v>
      </c>
      <c r="F34" s="65">
        <v>2617</v>
      </c>
      <c r="G34" s="65">
        <v>2560</v>
      </c>
      <c r="H34" s="65">
        <v>2497</v>
      </c>
      <c r="I34" s="65">
        <v>2422</v>
      </c>
      <c r="J34" s="65">
        <v>2339</v>
      </c>
      <c r="K34" s="65">
        <v>2309</v>
      </c>
      <c r="L34" s="65">
        <v>2253</v>
      </c>
      <c r="M34" s="67">
        <v>1762</v>
      </c>
      <c r="P34" s="65">
        <f t="shared" si="0"/>
        <v>2253</v>
      </c>
      <c r="Q34" s="65">
        <f t="shared" si="3"/>
        <v>2198</v>
      </c>
      <c r="R34" s="65">
        <f t="shared" si="3"/>
        <v>2144</v>
      </c>
      <c r="S34" s="65">
        <f t="shared" si="3"/>
        <v>2089</v>
      </c>
      <c r="T34" s="65">
        <f t="shared" si="3"/>
        <v>2035</v>
      </c>
      <c r="U34" s="65">
        <f t="shared" si="3"/>
        <v>1980</v>
      </c>
      <c r="V34" s="65">
        <f t="shared" si="3"/>
        <v>1926</v>
      </c>
      <c r="W34" s="65">
        <f t="shared" si="3"/>
        <v>1871</v>
      </c>
      <c r="X34" s="65">
        <f t="shared" si="3"/>
        <v>1817</v>
      </c>
      <c r="Y34" s="60">
        <f t="shared" si="2"/>
        <v>1762</v>
      </c>
      <c r="Z34" s="52" t="s">
        <v>294</v>
      </c>
      <c r="AB34" s="56" t="s">
        <v>9</v>
      </c>
      <c r="AC34" s="57">
        <v>33372</v>
      </c>
      <c r="AD34" s="57">
        <v>32851</v>
      </c>
      <c r="AE34" s="57">
        <v>32329</v>
      </c>
      <c r="AF34" s="57">
        <v>28680</v>
      </c>
    </row>
    <row r="35" spans="1:32" x14ac:dyDescent="0.35">
      <c r="A35" s="60" t="str">
        <f>VLOOKUP(B35,IKP!$Q$6:$R$124,2,FALSE)</f>
        <v>Vidzemes statistiskais reģions</v>
      </c>
      <c r="B35" s="59" t="s">
        <v>31</v>
      </c>
      <c r="C35" s="65"/>
      <c r="D35" s="65">
        <v>17539</v>
      </c>
      <c r="E35" s="65">
        <v>17241</v>
      </c>
      <c r="F35" s="65">
        <v>17039</v>
      </c>
      <c r="G35" s="65">
        <v>16830</v>
      </c>
      <c r="H35" s="65">
        <v>16628</v>
      </c>
      <c r="I35" s="65">
        <v>16489</v>
      </c>
      <c r="J35" s="65">
        <v>16372</v>
      </c>
      <c r="K35" s="65">
        <v>16226</v>
      </c>
      <c r="L35" s="65">
        <v>16143</v>
      </c>
      <c r="M35" s="67">
        <v>12918</v>
      </c>
      <c r="P35" s="65">
        <f t="shared" si="0"/>
        <v>16143</v>
      </c>
      <c r="Q35" s="65">
        <f t="shared" si="3"/>
        <v>15785</v>
      </c>
      <c r="R35" s="65">
        <f t="shared" si="3"/>
        <v>15426</v>
      </c>
      <c r="S35" s="65">
        <f t="shared" si="3"/>
        <v>15068</v>
      </c>
      <c r="T35" s="65">
        <f t="shared" si="3"/>
        <v>14710</v>
      </c>
      <c r="U35" s="65">
        <f t="shared" si="3"/>
        <v>14351</v>
      </c>
      <c r="V35" s="65">
        <f t="shared" si="3"/>
        <v>13993</v>
      </c>
      <c r="W35" s="65">
        <f t="shared" si="3"/>
        <v>13635</v>
      </c>
      <c r="X35" s="65">
        <f t="shared" si="3"/>
        <v>13276</v>
      </c>
      <c r="Y35" s="60">
        <f t="shared" si="2"/>
        <v>12918</v>
      </c>
      <c r="Z35" s="52" t="s">
        <v>294</v>
      </c>
      <c r="AB35" s="56" t="s">
        <v>294</v>
      </c>
      <c r="AC35" s="57">
        <v>160428</v>
      </c>
      <c r="AD35" s="57">
        <v>156712</v>
      </c>
      <c r="AE35" s="57">
        <v>152998</v>
      </c>
      <c r="AF35" s="57">
        <v>126999</v>
      </c>
    </row>
    <row r="36" spans="1:32" x14ac:dyDescent="0.35">
      <c r="A36" s="60" t="str">
        <f>VLOOKUP(B36,IKP!$Q$6:$R$124,2,FALSE)</f>
        <v>Latgales statistiskais reģions</v>
      </c>
      <c r="B36" s="59" t="s">
        <v>32</v>
      </c>
      <c r="C36" s="65"/>
      <c r="D36" s="65">
        <v>2818</v>
      </c>
      <c r="E36" s="65">
        <v>2755</v>
      </c>
      <c r="F36" s="65">
        <v>2707</v>
      </c>
      <c r="G36" s="65">
        <v>2659</v>
      </c>
      <c r="H36" s="65">
        <v>2568</v>
      </c>
      <c r="I36" s="65">
        <v>2515</v>
      </c>
      <c r="J36" s="65">
        <v>2429</v>
      </c>
      <c r="K36" s="65">
        <v>2451</v>
      </c>
      <c r="L36" s="65">
        <v>2362</v>
      </c>
      <c r="M36" s="67">
        <v>1950</v>
      </c>
      <c r="P36" s="65">
        <f t="shared" ref="P36:P68" si="5">L36</f>
        <v>2362</v>
      </c>
      <c r="Q36" s="65">
        <f t="shared" si="3"/>
        <v>2316</v>
      </c>
      <c r="R36" s="65">
        <f t="shared" si="3"/>
        <v>2270</v>
      </c>
      <c r="S36" s="65">
        <f t="shared" si="3"/>
        <v>2225</v>
      </c>
      <c r="T36" s="65">
        <f t="shared" si="3"/>
        <v>2179</v>
      </c>
      <c r="U36" s="65">
        <f t="shared" si="3"/>
        <v>2133</v>
      </c>
      <c r="V36" s="65">
        <f t="shared" si="3"/>
        <v>2087</v>
      </c>
      <c r="W36" s="65">
        <f t="shared" si="3"/>
        <v>2042</v>
      </c>
      <c r="X36" s="65">
        <f t="shared" si="3"/>
        <v>1996</v>
      </c>
      <c r="Y36" s="60">
        <f t="shared" si="2"/>
        <v>1950</v>
      </c>
      <c r="Z36" s="52" t="s">
        <v>296</v>
      </c>
      <c r="AB36" s="56" t="s">
        <v>295</v>
      </c>
      <c r="AC36" s="57">
        <v>150555</v>
      </c>
      <c r="AD36" s="57">
        <v>148106</v>
      </c>
      <c r="AE36" s="57">
        <v>145656</v>
      </c>
      <c r="AF36" s="57">
        <v>128502</v>
      </c>
    </row>
    <row r="37" spans="1:32" x14ac:dyDescent="0.35">
      <c r="A37" s="60" t="str">
        <f>VLOOKUP(B37,IKP!$Q$6:$R$124,2,FALSE)</f>
        <v>Latgales statistiskais reģions</v>
      </c>
      <c r="B37" s="59" t="s">
        <v>33</v>
      </c>
      <c r="C37" s="65"/>
      <c r="D37" s="65">
        <v>8014</v>
      </c>
      <c r="E37" s="65">
        <v>7819</v>
      </c>
      <c r="F37" s="65">
        <v>7647</v>
      </c>
      <c r="G37" s="65">
        <v>7460</v>
      </c>
      <c r="H37" s="65">
        <v>7253</v>
      </c>
      <c r="I37" s="65">
        <v>6992</v>
      </c>
      <c r="J37" s="65">
        <v>6777</v>
      </c>
      <c r="K37" s="65">
        <v>6685</v>
      </c>
      <c r="L37" s="65">
        <v>6475</v>
      </c>
      <c r="M37" s="67">
        <v>5041</v>
      </c>
      <c r="P37" s="65">
        <f t="shared" si="5"/>
        <v>6475</v>
      </c>
      <c r="Q37" s="65">
        <f t="shared" si="3"/>
        <v>6316</v>
      </c>
      <c r="R37" s="65">
        <f t="shared" si="3"/>
        <v>6156</v>
      </c>
      <c r="S37" s="65">
        <f t="shared" si="3"/>
        <v>5997</v>
      </c>
      <c r="T37" s="65">
        <f t="shared" si="3"/>
        <v>5838</v>
      </c>
      <c r="U37" s="65">
        <f t="shared" si="3"/>
        <v>5678</v>
      </c>
      <c r="V37" s="65">
        <f t="shared" si="3"/>
        <v>5519</v>
      </c>
      <c r="W37" s="65">
        <f t="shared" si="3"/>
        <v>5360</v>
      </c>
      <c r="X37" s="65">
        <f t="shared" si="3"/>
        <v>5200</v>
      </c>
      <c r="Y37" s="60">
        <f t="shared" si="2"/>
        <v>5041</v>
      </c>
      <c r="Z37" s="52" t="s">
        <v>296</v>
      </c>
      <c r="AB37" s="56" t="s">
        <v>317</v>
      </c>
      <c r="AC37" s="57">
        <v>1893223</v>
      </c>
      <c r="AD37" s="57">
        <v>1876426</v>
      </c>
      <c r="AE37" s="57">
        <v>1859631</v>
      </c>
      <c r="AF37" s="57">
        <v>1742028</v>
      </c>
    </row>
    <row r="38" spans="1:32" x14ac:dyDescent="0.35">
      <c r="A38" s="60" t="str">
        <f>VLOOKUP(B38,IKP!$Q$6:$R$124,2,FALSE)</f>
        <v>Latgales statistiskais reģions</v>
      </c>
      <c r="B38" s="59" t="s">
        <v>34</v>
      </c>
      <c r="C38" s="65"/>
      <c r="D38" s="65">
        <v>24000</v>
      </c>
      <c r="E38" s="65">
        <v>23503</v>
      </c>
      <c r="F38" s="65">
        <v>22848</v>
      </c>
      <c r="G38" s="65">
        <v>22096</v>
      </c>
      <c r="H38" s="65">
        <v>21301</v>
      </c>
      <c r="I38" s="65">
        <v>20684</v>
      </c>
      <c r="J38" s="65">
        <v>20149</v>
      </c>
      <c r="K38" s="65">
        <v>20075</v>
      </c>
      <c r="L38" s="65">
        <v>19553</v>
      </c>
      <c r="M38" s="67">
        <v>14277</v>
      </c>
      <c r="P38" s="65">
        <f t="shared" si="5"/>
        <v>19553</v>
      </c>
      <c r="Q38" s="65">
        <f t="shared" ref="Q38:X69" si="6">ROUND((_xlfn.FORECAST.LINEAR(Q$3,$L38:$M38,$L$3:$M$3)),0)</f>
        <v>18967</v>
      </c>
      <c r="R38" s="65">
        <f t="shared" si="6"/>
        <v>18381</v>
      </c>
      <c r="S38" s="65">
        <f t="shared" si="6"/>
        <v>17794</v>
      </c>
      <c r="T38" s="65">
        <f t="shared" si="6"/>
        <v>17208</v>
      </c>
      <c r="U38" s="65">
        <f t="shared" si="6"/>
        <v>16622</v>
      </c>
      <c r="V38" s="65">
        <f t="shared" si="6"/>
        <v>16036</v>
      </c>
      <c r="W38" s="65">
        <f t="shared" si="6"/>
        <v>15449</v>
      </c>
      <c r="X38" s="65">
        <f t="shared" si="6"/>
        <v>14863</v>
      </c>
      <c r="Y38" s="60">
        <f t="shared" si="2"/>
        <v>14277</v>
      </c>
      <c r="Z38" s="52" t="s">
        <v>296</v>
      </c>
      <c r="AB38" s="4"/>
    </row>
    <row r="39" spans="1:32" x14ac:dyDescent="0.35">
      <c r="A39" s="60" t="str">
        <f>VLOOKUP(B39,IKP!$Q$6:$R$124,2,FALSE)</f>
        <v>Zemgales statistiskais reģions</v>
      </c>
      <c r="B39" s="59" t="s">
        <v>35</v>
      </c>
      <c r="C39" s="65"/>
      <c r="D39" s="65">
        <v>21693</v>
      </c>
      <c r="E39" s="65">
        <v>21218</v>
      </c>
      <c r="F39" s="65">
        <v>20878</v>
      </c>
      <c r="G39" s="65">
        <v>20473</v>
      </c>
      <c r="H39" s="65">
        <v>20080</v>
      </c>
      <c r="I39" s="65">
        <v>19768</v>
      </c>
      <c r="J39" s="65">
        <v>19517</v>
      </c>
      <c r="K39" s="65">
        <v>19438</v>
      </c>
      <c r="L39" s="65">
        <v>19219</v>
      </c>
      <c r="M39" s="67">
        <v>15822</v>
      </c>
      <c r="P39" s="65">
        <f t="shared" si="5"/>
        <v>19219</v>
      </c>
      <c r="Q39" s="65">
        <f t="shared" si="6"/>
        <v>18842</v>
      </c>
      <c r="R39" s="65">
        <f t="shared" si="6"/>
        <v>18464</v>
      </c>
      <c r="S39" s="65">
        <f t="shared" si="6"/>
        <v>18087</v>
      </c>
      <c r="T39" s="65">
        <f t="shared" si="6"/>
        <v>17709</v>
      </c>
      <c r="U39" s="65">
        <f t="shared" si="6"/>
        <v>17332</v>
      </c>
      <c r="V39" s="65">
        <f t="shared" si="6"/>
        <v>16954</v>
      </c>
      <c r="W39" s="65">
        <f t="shared" si="6"/>
        <v>16577</v>
      </c>
      <c r="X39" s="65">
        <f t="shared" si="6"/>
        <v>16199</v>
      </c>
      <c r="Y39" s="60">
        <f t="shared" si="2"/>
        <v>15822</v>
      </c>
      <c r="Z39" s="52" t="s">
        <v>295</v>
      </c>
    </row>
    <row r="40" spans="1:32" x14ac:dyDescent="0.35">
      <c r="A40" s="60" t="str">
        <f>VLOOKUP(B40,IKP!$Q$6:$R$124,2,FALSE)</f>
        <v>Kurzemes statistiskais reģions</v>
      </c>
      <c r="B40" s="59" t="s">
        <v>36</v>
      </c>
      <c r="C40" s="65"/>
      <c r="D40" s="65">
        <v>4193</v>
      </c>
      <c r="E40" s="65">
        <v>4140</v>
      </c>
      <c r="F40" s="65">
        <v>4039</v>
      </c>
      <c r="G40" s="65">
        <v>3963</v>
      </c>
      <c r="H40" s="65">
        <v>3846</v>
      </c>
      <c r="I40" s="65">
        <v>3740</v>
      </c>
      <c r="J40" s="65">
        <v>3641</v>
      </c>
      <c r="K40" s="65">
        <v>3568</v>
      </c>
      <c r="L40" s="65">
        <v>3487</v>
      </c>
      <c r="M40" s="67">
        <v>2979</v>
      </c>
      <c r="P40" s="65">
        <f t="shared" si="5"/>
        <v>3487</v>
      </c>
      <c r="Q40" s="65">
        <f t="shared" si="6"/>
        <v>3431</v>
      </c>
      <c r="R40" s="65">
        <f t="shared" si="6"/>
        <v>3374</v>
      </c>
      <c r="S40" s="65">
        <f t="shared" si="6"/>
        <v>3318</v>
      </c>
      <c r="T40" s="65">
        <f t="shared" si="6"/>
        <v>3261</v>
      </c>
      <c r="U40" s="65">
        <f t="shared" si="6"/>
        <v>3205</v>
      </c>
      <c r="V40" s="65">
        <f t="shared" si="6"/>
        <v>3148</v>
      </c>
      <c r="W40" s="65">
        <f t="shared" si="6"/>
        <v>3092</v>
      </c>
      <c r="X40" s="65">
        <f t="shared" si="6"/>
        <v>3035</v>
      </c>
      <c r="Y40" s="60">
        <f t="shared" si="2"/>
        <v>2979</v>
      </c>
      <c r="Z40" s="52" t="s">
        <v>293</v>
      </c>
    </row>
    <row r="41" spans="1:32" x14ac:dyDescent="0.35">
      <c r="A41" s="60" t="str">
        <f>VLOOKUP(B41,IKP!$Q$6:$R$124,2,FALSE)</f>
        <v>Kurzemes statistiskais reģions</v>
      </c>
      <c r="B41" s="59" t="s">
        <v>37</v>
      </c>
      <c r="C41" s="65"/>
      <c r="D41" s="65">
        <v>2969</v>
      </c>
      <c r="E41" s="65">
        <v>2921</v>
      </c>
      <c r="F41" s="65">
        <v>2854</v>
      </c>
      <c r="G41" s="65">
        <v>2777</v>
      </c>
      <c r="H41" s="65">
        <v>2729</v>
      </c>
      <c r="I41" s="65">
        <v>2681</v>
      </c>
      <c r="J41" s="65">
        <v>2626</v>
      </c>
      <c r="K41" s="65">
        <v>2667</v>
      </c>
      <c r="L41" s="65">
        <v>2620</v>
      </c>
      <c r="M41" s="67">
        <v>2107</v>
      </c>
      <c r="P41" s="65">
        <f t="shared" si="5"/>
        <v>2620</v>
      </c>
      <c r="Q41" s="65">
        <f t="shared" si="6"/>
        <v>2563</v>
      </c>
      <c r="R41" s="65">
        <f t="shared" si="6"/>
        <v>2506</v>
      </c>
      <c r="S41" s="65">
        <f t="shared" si="6"/>
        <v>2449</v>
      </c>
      <c r="T41" s="65">
        <f t="shared" si="6"/>
        <v>2392</v>
      </c>
      <c r="U41" s="65">
        <f t="shared" si="6"/>
        <v>2335</v>
      </c>
      <c r="V41" s="65">
        <f t="shared" si="6"/>
        <v>2278</v>
      </c>
      <c r="W41" s="65">
        <f t="shared" si="6"/>
        <v>2221</v>
      </c>
      <c r="X41" s="65">
        <f t="shared" si="6"/>
        <v>2164</v>
      </c>
      <c r="Y41" s="60">
        <f t="shared" si="2"/>
        <v>2107</v>
      </c>
      <c r="Z41" s="52" t="s">
        <v>293</v>
      </c>
    </row>
    <row r="42" spans="1:32" x14ac:dyDescent="0.35">
      <c r="A42" s="60" t="str">
        <f>VLOOKUP(B42,IKP!$Q$6:$R$124,2,FALSE)</f>
        <v>Pierīgas statistiskais reģions</v>
      </c>
      <c r="B42" s="59" t="s">
        <v>38</v>
      </c>
      <c r="C42" s="65"/>
      <c r="D42" s="65">
        <v>7430</v>
      </c>
      <c r="E42" s="65">
        <v>7321</v>
      </c>
      <c r="F42" s="65">
        <v>7204</v>
      </c>
      <c r="G42" s="65">
        <v>7289</v>
      </c>
      <c r="H42" s="65">
        <v>7225</v>
      </c>
      <c r="I42" s="65">
        <v>7080</v>
      </c>
      <c r="J42" s="65">
        <v>7054</v>
      </c>
      <c r="K42" s="65">
        <v>7219</v>
      </c>
      <c r="L42" s="65">
        <v>7147</v>
      </c>
      <c r="M42" s="67">
        <v>6288</v>
      </c>
      <c r="P42" s="65">
        <f t="shared" si="5"/>
        <v>7147</v>
      </c>
      <c r="Q42" s="65">
        <f t="shared" si="6"/>
        <v>7052</v>
      </c>
      <c r="R42" s="65">
        <f t="shared" si="6"/>
        <v>6956</v>
      </c>
      <c r="S42" s="65">
        <f t="shared" si="6"/>
        <v>6861</v>
      </c>
      <c r="T42" s="65">
        <f t="shared" si="6"/>
        <v>6765</v>
      </c>
      <c r="U42" s="65">
        <f t="shared" si="6"/>
        <v>6670</v>
      </c>
      <c r="V42" s="65">
        <f t="shared" si="6"/>
        <v>6574</v>
      </c>
      <c r="W42" s="65">
        <f t="shared" si="6"/>
        <v>6479</v>
      </c>
      <c r="X42" s="65">
        <f t="shared" si="6"/>
        <v>6383</v>
      </c>
      <c r="Y42" s="60">
        <f t="shared" si="2"/>
        <v>6288</v>
      </c>
      <c r="Z42" s="52" t="s">
        <v>292</v>
      </c>
    </row>
    <row r="43" spans="1:32" x14ac:dyDescent="0.35">
      <c r="A43" s="60" t="str">
        <f>VLOOKUP(B43,IKP!$Q$6:$R$124,2,FALSE)</f>
        <v>Vidzemes statistiskais reģions</v>
      </c>
      <c r="B43" s="59" t="s">
        <v>39</v>
      </c>
      <c r="C43" s="65"/>
      <c r="D43" s="65">
        <v>3059</v>
      </c>
      <c r="E43" s="65">
        <v>2988</v>
      </c>
      <c r="F43" s="65">
        <v>2943</v>
      </c>
      <c r="G43" s="65">
        <v>2929</v>
      </c>
      <c r="H43" s="65">
        <v>2804</v>
      </c>
      <c r="I43" s="65">
        <v>2747</v>
      </c>
      <c r="J43" s="65">
        <v>2689</v>
      </c>
      <c r="K43" s="65">
        <v>2680</v>
      </c>
      <c r="L43" s="65">
        <v>2600</v>
      </c>
      <c r="M43" s="67">
        <v>1998</v>
      </c>
      <c r="P43" s="65">
        <f t="shared" si="5"/>
        <v>2600</v>
      </c>
      <c r="Q43" s="65">
        <f t="shared" si="6"/>
        <v>2533</v>
      </c>
      <c r="R43" s="65">
        <f t="shared" si="6"/>
        <v>2466</v>
      </c>
      <c r="S43" s="65">
        <f t="shared" si="6"/>
        <v>2399</v>
      </c>
      <c r="T43" s="65">
        <f t="shared" si="6"/>
        <v>2332</v>
      </c>
      <c r="U43" s="65">
        <f t="shared" si="6"/>
        <v>2266</v>
      </c>
      <c r="V43" s="65">
        <f t="shared" si="6"/>
        <v>2199</v>
      </c>
      <c r="W43" s="65">
        <f t="shared" si="6"/>
        <v>2132</v>
      </c>
      <c r="X43" s="65">
        <f t="shared" si="6"/>
        <v>2065</v>
      </c>
      <c r="Y43" s="60">
        <f t="shared" si="2"/>
        <v>1998</v>
      </c>
      <c r="Z43" s="52" t="s">
        <v>294</v>
      </c>
    </row>
    <row r="44" spans="1:32" x14ac:dyDescent="0.35">
      <c r="A44" s="60" t="str">
        <f>VLOOKUP(B44,IKP!$Q$6:$R$124,2,FALSE)</f>
        <v>Pierīgas statistiskais reģions</v>
      </c>
      <c r="B44" s="59" t="s">
        <v>40</v>
      </c>
      <c r="C44" s="65"/>
      <c r="D44" s="65">
        <v>7868</v>
      </c>
      <c r="E44" s="65">
        <v>7817</v>
      </c>
      <c r="F44" s="65">
        <v>7858</v>
      </c>
      <c r="G44" s="65">
        <v>7944</v>
      </c>
      <c r="H44" s="65">
        <v>8121</v>
      </c>
      <c r="I44" s="65">
        <v>8344</v>
      </c>
      <c r="J44" s="65">
        <v>8557</v>
      </c>
      <c r="K44" s="65">
        <v>9011</v>
      </c>
      <c r="L44" s="65">
        <v>9425</v>
      </c>
      <c r="M44" s="67">
        <v>9817</v>
      </c>
      <c r="P44" s="65">
        <f t="shared" si="5"/>
        <v>9425</v>
      </c>
      <c r="Q44" s="65">
        <f t="shared" si="6"/>
        <v>9469</v>
      </c>
      <c r="R44" s="65">
        <f t="shared" si="6"/>
        <v>9512</v>
      </c>
      <c r="S44" s="65">
        <f t="shared" si="6"/>
        <v>9556</v>
      </c>
      <c r="T44" s="65">
        <f t="shared" si="6"/>
        <v>9599</v>
      </c>
      <c r="U44" s="65">
        <f t="shared" si="6"/>
        <v>9643</v>
      </c>
      <c r="V44" s="65">
        <f t="shared" si="6"/>
        <v>9686</v>
      </c>
      <c r="W44" s="65">
        <f t="shared" si="6"/>
        <v>9730</v>
      </c>
      <c r="X44" s="65">
        <f t="shared" si="6"/>
        <v>9773</v>
      </c>
      <c r="Y44" s="60">
        <f t="shared" si="2"/>
        <v>9817</v>
      </c>
      <c r="Z44" s="52" t="s">
        <v>292</v>
      </c>
    </row>
    <row r="45" spans="1:32" x14ac:dyDescent="0.35">
      <c r="A45" s="60" t="str">
        <f>VLOOKUP(B45,IKP!$Q$6:$R$124,2,FALSE)</f>
        <v>Kurzemes statistiskais reģions</v>
      </c>
      <c r="B45" s="59" t="s">
        <v>41</v>
      </c>
      <c r="C45" s="65"/>
      <c r="D45" s="65">
        <v>9144</v>
      </c>
      <c r="E45" s="65">
        <v>9051</v>
      </c>
      <c r="F45" s="65">
        <v>8929</v>
      </c>
      <c r="G45" s="65">
        <v>8765</v>
      </c>
      <c r="H45" s="65">
        <v>8615</v>
      </c>
      <c r="I45" s="65">
        <v>8479</v>
      </c>
      <c r="J45" s="65">
        <v>8394</v>
      </c>
      <c r="K45" s="65">
        <v>8398</v>
      </c>
      <c r="L45" s="65">
        <v>8329</v>
      </c>
      <c r="M45" s="67">
        <v>7041</v>
      </c>
      <c r="P45" s="65">
        <f t="shared" si="5"/>
        <v>8329</v>
      </c>
      <c r="Q45" s="65">
        <f t="shared" si="6"/>
        <v>8186</v>
      </c>
      <c r="R45" s="65">
        <f t="shared" si="6"/>
        <v>8043</v>
      </c>
      <c r="S45" s="65">
        <f t="shared" si="6"/>
        <v>7900</v>
      </c>
      <c r="T45" s="65">
        <f t="shared" si="6"/>
        <v>7757</v>
      </c>
      <c r="U45" s="65">
        <f t="shared" si="6"/>
        <v>7613</v>
      </c>
      <c r="V45" s="65">
        <f t="shared" si="6"/>
        <v>7470</v>
      </c>
      <c r="W45" s="65">
        <f t="shared" si="6"/>
        <v>7327</v>
      </c>
      <c r="X45" s="65">
        <f t="shared" si="6"/>
        <v>7184</v>
      </c>
      <c r="Y45" s="60">
        <f t="shared" si="2"/>
        <v>7041</v>
      </c>
      <c r="Z45" s="52" t="s">
        <v>293</v>
      </c>
    </row>
    <row r="46" spans="1:32" x14ac:dyDescent="0.35">
      <c r="A46" s="60" t="str">
        <f>VLOOKUP(B46,IKP!$Q$6:$R$124,2,FALSE)</f>
        <v>Vidzemes statistiskais reģions</v>
      </c>
      <c r="B46" s="59" t="s">
        <v>42</v>
      </c>
      <c r="C46" s="65"/>
      <c r="D46" s="65">
        <v>22375</v>
      </c>
      <c r="E46" s="65">
        <v>21935</v>
      </c>
      <c r="F46" s="65">
        <v>21640</v>
      </c>
      <c r="G46" s="65">
        <v>21244</v>
      </c>
      <c r="H46" s="65">
        <v>20805</v>
      </c>
      <c r="I46" s="65">
        <v>20431</v>
      </c>
      <c r="J46" s="65">
        <v>20079</v>
      </c>
      <c r="K46" s="65">
        <v>20001</v>
      </c>
      <c r="L46" s="65">
        <v>19619</v>
      </c>
      <c r="M46" s="67">
        <v>15759</v>
      </c>
      <c r="P46" s="65">
        <f t="shared" si="5"/>
        <v>19619</v>
      </c>
      <c r="Q46" s="65">
        <f t="shared" si="6"/>
        <v>19190</v>
      </c>
      <c r="R46" s="65">
        <f t="shared" si="6"/>
        <v>18761</v>
      </c>
      <c r="S46" s="65">
        <f t="shared" si="6"/>
        <v>18332</v>
      </c>
      <c r="T46" s="65">
        <f t="shared" si="6"/>
        <v>17903</v>
      </c>
      <c r="U46" s="65">
        <f t="shared" si="6"/>
        <v>17475</v>
      </c>
      <c r="V46" s="65">
        <f t="shared" si="6"/>
        <v>17046</v>
      </c>
      <c r="W46" s="65">
        <f t="shared" si="6"/>
        <v>16617</v>
      </c>
      <c r="X46" s="65">
        <f t="shared" si="6"/>
        <v>16188</v>
      </c>
      <c r="Y46" s="60">
        <f t="shared" si="2"/>
        <v>15759</v>
      </c>
      <c r="Z46" s="52" t="s">
        <v>294</v>
      </c>
    </row>
    <row r="47" spans="1:32" x14ac:dyDescent="0.35">
      <c r="A47" s="60" t="str">
        <f>VLOOKUP(B47,IKP!$Q$6:$R$124,2,FALSE)</f>
        <v>Zemgales statistiskais reģions</v>
      </c>
      <c r="B47" s="59" t="s">
        <v>43</v>
      </c>
      <c r="C47" s="65"/>
      <c r="D47" s="65">
        <v>8894</v>
      </c>
      <c r="E47" s="65">
        <v>8756</v>
      </c>
      <c r="F47" s="65">
        <v>8703</v>
      </c>
      <c r="G47" s="65">
        <v>8572</v>
      </c>
      <c r="H47" s="65">
        <v>8455</v>
      </c>
      <c r="I47" s="65">
        <v>8424</v>
      </c>
      <c r="J47" s="65">
        <v>8359</v>
      </c>
      <c r="K47" s="65">
        <v>8435</v>
      </c>
      <c r="L47" s="65">
        <v>8411</v>
      </c>
      <c r="M47" s="67">
        <v>7365</v>
      </c>
      <c r="P47" s="65">
        <f t="shared" si="5"/>
        <v>8411</v>
      </c>
      <c r="Q47" s="65">
        <f t="shared" si="6"/>
        <v>8295</v>
      </c>
      <c r="R47" s="65">
        <f t="shared" si="6"/>
        <v>8179</v>
      </c>
      <c r="S47" s="65">
        <f t="shared" si="6"/>
        <v>8062</v>
      </c>
      <c r="T47" s="65">
        <f t="shared" si="6"/>
        <v>7946</v>
      </c>
      <c r="U47" s="65">
        <f t="shared" si="6"/>
        <v>7830</v>
      </c>
      <c r="V47" s="65">
        <f t="shared" si="6"/>
        <v>7714</v>
      </c>
      <c r="W47" s="65">
        <f t="shared" si="6"/>
        <v>7597</v>
      </c>
      <c r="X47" s="65">
        <f t="shared" si="6"/>
        <v>7481</v>
      </c>
      <c r="Y47" s="60">
        <f t="shared" si="2"/>
        <v>7365</v>
      </c>
      <c r="Z47" s="52" t="s">
        <v>295</v>
      </c>
    </row>
    <row r="48" spans="1:32" x14ac:dyDescent="0.35">
      <c r="A48" s="60" t="str">
        <f>VLOOKUP(B48,IKP!$Q$6:$R$124,2,FALSE)</f>
        <v>Pierīgas statistiskais reģions</v>
      </c>
      <c r="B48" s="59" t="s">
        <v>44</v>
      </c>
      <c r="C48" s="65"/>
      <c r="D48" s="65">
        <v>8974</v>
      </c>
      <c r="E48" s="65">
        <v>9174</v>
      </c>
      <c r="F48" s="65">
        <v>9314</v>
      </c>
      <c r="G48" s="65">
        <v>9369</v>
      </c>
      <c r="H48" s="65">
        <v>9405</v>
      </c>
      <c r="I48" s="65">
        <v>9643</v>
      </c>
      <c r="J48" s="65">
        <v>9708</v>
      </c>
      <c r="K48" s="65">
        <v>9770</v>
      </c>
      <c r="L48" s="65">
        <v>9967</v>
      </c>
      <c r="M48" s="67">
        <v>10930</v>
      </c>
      <c r="P48" s="65">
        <f t="shared" si="5"/>
        <v>9967</v>
      </c>
      <c r="Q48" s="65">
        <f t="shared" si="6"/>
        <v>10074</v>
      </c>
      <c r="R48" s="65">
        <f t="shared" si="6"/>
        <v>10181</v>
      </c>
      <c r="S48" s="65">
        <f t="shared" si="6"/>
        <v>10288</v>
      </c>
      <c r="T48" s="65">
        <f t="shared" si="6"/>
        <v>10395</v>
      </c>
      <c r="U48" s="65">
        <f t="shared" si="6"/>
        <v>10502</v>
      </c>
      <c r="V48" s="65">
        <f t="shared" si="6"/>
        <v>10609</v>
      </c>
      <c r="W48" s="65">
        <f t="shared" si="6"/>
        <v>10716</v>
      </c>
      <c r="X48" s="65">
        <f t="shared" si="6"/>
        <v>10823</v>
      </c>
      <c r="Y48" s="60">
        <f t="shared" si="2"/>
        <v>10930</v>
      </c>
      <c r="Z48" s="52" t="s">
        <v>292</v>
      </c>
    </row>
    <row r="49" spans="1:26" x14ac:dyDescent="0.35">
      <c r="A49" s="60" t="str">
        <f>VLOOKUP(B49,IKP!$Q$6:$R$124,2,FALSE)</f>
        <v>Latgales statistiskais reģions</v>
      </c>
      <c r="B49" s="59" t="s">
        <v>45</v>
      </c>
      <c r="C49" s="65"/>
      <c r="D49" s="65">
        <v>7786</v>
      </c>
      <c r="E49" s="65">
        <v>7537</v>
      </c>
      <c r="F49" s="65">
        <v>7450</v>
      </c>
      <c r="G49" s="65">
        <v>7210</v>
      </c>
      <c r="H49" s="65">
        <v>7022</v>
      </c>
      <c r="I49" s="65">
        <v>6820</v>
      </c>
      <c r="J49" s="65">
        <v>6615</v>
      </c>
      <c r="K49" s="65">
        <v>6523</v>
      </c>
      <c r="L49" s="65">
        <v>6374</v>
      </c>
      <c r="M49" s="67">
        <v>5054</v>
      </c>
      <c r="P49" s="65">
        <f t="shared" si="5"/>
        <v>6374</v>
      </c>
      <c r="Q49" s="65">
        <f t="shared" si="6"/>
        <v>6227</v>
      </c>
      <c r="R49" s="65">
        <f t="shared" si="6"/>
        <v>6081</v>
      </c>
      <c r="S49" s="65">
        <f t="shared" si="6"/>
        <v>5934</v>
      </c>
      <c r="T49" s="65">
        <f t="shared" si="6"/>
        <v>5787</v>
      </c>
      <c r="U49" s="65">
        <f t="shared" si="6"/>
        <v>5641</v>
      </c>
      <c r="V49" s="65">
        <f t="shared" si="6"/>
        <v>5494</v>
      </c>
      <c r="W49" s="65">
        <f t="shared" si="6"/>
        <v>5347</v>
      </c>
      <c r="X49" s="65">
        <f t="shared" si="6"/>
        <v>5201</v>
      </c>
      <c r="Y49" s="60">
        <f t="shared" si="2"/>
        <v>5054</v>
      </c>
      <c r="Z49" s="52" t="s">
        <v>296</v>
      </c>
    </row>
    <row r="50" spans="1:26" x14ac:dyDescent="0.35">
      <c r="A50" s="60" t="str">
        <f>VLOOKUP(B50,IKP!$Q$6:$R$124,2,FALSE)</f>
        <v>Pierīgas statistiskais reģions</v>
      </c>
      <c r="B50" s="59" t="s">
        <v>46</v>
      </c>
      <c r="C50" s="65"/>
      <c r="D50" s="65">
        <v>7856</v>
      </c>
      <c r="E50" s="65">
        <v>7748</v>
      </c>
      <c r="F50" s="65">
        <v>7719</v>
      </c>
      <c r="G50" s="65">
        <v>7679</v>
      </c>
      <c r="H50" s="65">
        <v>7598</v>
      </c>
      <c r="I50" s="65">
        <v>7558</v>
      </c>
      <c r="J50" s="65">
        <v>7640</v>
      </c>
      <c r="K50" s="65">
        <v>7579</v>
      </c>
      <c r="L50" s="65">
        <v>7622</v>
      </c>
      <c r="M50" s="67">
        <v>6957</v>
      </c>
      <c r="P50" s="65">
        <f t="shared" si="5"/>
        <v>7622</v>
      </c>
      <c r="Q50" s="65">
        <f t="shared" si="6"/>
        <v>7548</v>
      </c>
      <c r="R50" s="65">
        <f t="shared" si="6"/>
        <v>7474</v>
      </c>
      <c r="S50" s="65">
        <f t="shared" si="6"/>
        <v>7400</v>
      </c>
      <c r="T50" s="65">
        <f t="shared" si="6"/>
        <v>7326</v>
      </c>
      <c r="U50" s="65">
        <f t="shared" si="6"/>
        <v>7253</v>
      </c>
      <c r="V50" s="65">
        <f t="shared" si="6"/>
        <v>7179</v>
      </c>
      <c r="W50" s="65">
        <f t="shared" si="6"/>
        <v>7105</v>
      </c>
      <c r="X50" s="65">
        <f t="shared" si="6"/>
        <v>7031</v>
      </c>
      <c r="Y50" s="60">
        <f t="shared" si="2"/>
        <v>6957</v>
      </c>
      <c r="Z50" s="52" t="s">
        <v>292</v>
      </c>
    </row>
    <row r="51" spans="1:26" x14ac:dyDescent="0.35">
      <c r="A51" s="60" t="str">
        <f>VLOOKUP(B51,IKP!$Q$6:$R$124,2,FALSE)</f>
        <v>Zemgales statistiskais reģions</v>
      </c>
      <c r="B51" s="59" t="s">
        <v>47</v>
      </c>
      <c r="C51" s="65"/>
      <c r="D51" s="65">
        <v>5731</v>
      </c>
      <c r="E51" s="65">
        <v>5656</v>
      </c>
      <c r="F51" s="65">
        <v>5578</v>
      </c>
      <c r="G51" s="65">
        <v>5496</v>
      </c>
      <c r="H51" s="65">
        <v>5334</v>
      </c>
      <c r="I51" s="65">
        <v>5252</v>
      </c>
      <c r="J51" s="65">
        <v>5140</v>
      </c>
      <c r="K51" s="65">
        <v>5176</v>
      </c>
      <c r="L51" s="65">
        <v>5039</v>
      </c>
      <c r="M51" s="67">
        <v>4382</v>
      </c>
      <c r="P51" s="65">
        <f t="shared" si="5"/>
        <v>5039</v>
      </c>
      <c r="Q51" s="65">
        <f t="shared" si="6"/>
        <v>4966</v>
      </c>
      <c r="R51" s="65">
        <f t="shared" si="6"/>
        <v>4893</v>
      </c>
      <c r="S51" s="65">
        <f t="shared" si="6"/>
        <v>4820</v>
      </c>
      <c r="T51" s="65">
        <f t="shared" si="6"/>
        <v>4747</v>
      </c>
      <c r="U51" s="65">
        <f t="shared" si="6"/>
        <v>4674</v>
      </c>
      <c r="V51" s="65">
        <f t="shared" si="6"/>
        <v>4601</v>
      </c>
      <c r="W51" s="65">
        <f t="shared" si="6"/>
        <v>4528</v>
      </c>
      <c r="X51" s="65">
        <f t="shared" si="6"/>
        <v>4455</v>
      </c>
      <c r="Y51" s="60">
        <f t="shared" si="2"/>
        <v>4382</v>
      </c>
      <c r="Z51" s="52" t="s">
        <v>295</v>
      </c>
    </row>
    <row r="52" spans="1:26" x14ac:dyDescent="0.35">
      <c r="A52" s="60" t="str">
        <f>VLOOKUP(B52,IKP!$Q$6:$R$124,2,FALSE)</f>
        <v>Vidzemes statistiskais reģions</v>
      </c>
      <c r="B52" s="59" t="s">
        <v>48</v>
      </c>
      <c r="C52" s="65"/>
      <c r="D52" s="65">
        <v>2333</v>
      </c>
      <c r="E52" s="65">
        <v>2319</v>
      </c>
      <c r="F52" s="65">
        <v>2293</v>
      </c>
      <c r="G52" s="65">
        <v>2193</v>
      </c>
      <c r="H52" s="65">
        <v>2139</v>
      </c>
      <c r="I52" s="65">
        <v>2086</v>
      </c>
      <c r="J52" s="65">
        <v>2019</v>
      </c>
      <c r="K52" s="65">
        <v>2011</v>
      </c>
      <c r="L52" s="65">
        <v>1992</v>
      </c>
      <c r="M52" s="67">
        <v>1545</v>
      </c>
      <c r="P52" s="65">
        <f t="shared" si="5"/>
        <v>1992</v>
      </c>
      <c r="Q52" s="65">
        <f t="shared" si="6"/>
        <v>1942</v>
      </c>
      <c r="R52" s="65">
        <f t="shared" si="6"/>
        <v>1893</v>
      </c>
      <c r="S52" s="65">
        <f t="shared" si="6"/>
        <v>1843</v>
      </c>
      <c r="T52" s="65">
        <f t="shared" si="6"/>
        <v>1793</v>
      </c>
      <c r="U52" s="65">
        <f t="shared" si="6"/>
        <v>1744</v>
      </c>
      <c r="V52" s="65">
        <f t="shared" si="6"/>
        <v>1694</v>
      </c>
      <c r="W52" s="65">
        <f t="shared" si="6"/>
        <v>1644</v>
      </c>
      <c r="X52" s="65">
        <f t="shared" si="6"/>
        <v>1595</v>
      </c>
      <c r="Y52" s="60">
        <f t="shared" si="2"/>
        <v>1545</v>
      </c>
      <c r="Z52" s="52" t="s">
        <v>294</v>
      </c>
    </row>
    <row r="53" spans="1:26" x14ac:dyDescent="0.35">
      <c r="A53" s="60" t="str">
        <f>VLOOKUP(B53,IKP!$Q$6:$R$124,2,FALSE)</f>
        <v>Pierīgas statistiskais reģions</v>
      </c>
      <c r="B53" s="59" t="s">
        <v>49</v>
      </c>
      <c r="C53" s="65"/>
      <c r="D53" s="65">
        <v>2461</v>
      </c>
      <c r="E53" s="65">
        <v>2444</v>
      </c>
      <c r="F53" s="65">
        <v>2406</v>
      </c>
      <c r="G53" s="65">
        <v>2338</v>
      </c>
      <c r="H53" s="65">
        <v>2280</v>
      </c>
      <c r="I53" s="65">
        <v>2239</v>
      </c>
      <c r="J53" s="65">
        <v>2178</v>
      </c>
      <c r="K53" s="65">
        <v>2198</v>
      </c>
      <c r="L53" s="65">
        <v>2188</v>
      </c>
      <c r="M53" s="67">
        <v>1918</v>
      </c>
      <c r="P53" s="65">
        <f t="shared" si="5"/>
        <v>2188</v>
      </c>
      <c r="Q53" s="65">
        <f t="shared" si="6"/>
        <v>2158</v>
      </c>
      <c r="R53" s="65">
        <f t="shared" si="6"/>
        <v>2128</v>
      </c>
      <c r="S53" s="65">
        <f t="shared" si="6"/>
        <v>2098</v>
      </c>
      <c r="T53" s="65">
        <f t="shared" si="6"/>
        <v>2068</v>
      </c>
      <c r="U53" s="65">
        <f t="shared" si="6"/>
        <v>2038</v>
      </c>
      <c r="V53" s="65">
        <f t="shared" si="6"/>
        <v>2008</v>
      </c>
      <c r="W53" s="65">
        <f t="shared" si="6"/>
        <v>1978</v>
      </c>
      <c r="X53" s="65">
        <f t="shared" si="6"/>
        <v>1948</v>
      </c>
      <c r="Y53" s="60">
        <f t="shared" si="2"/>
        <v>1918</v>
      </c>
      <c r="Z53" s="52" t="s">
        <v>292</v>
      </c>
    </row>
    <row r="54" spans="1:26" x14ac:dyDescent="0.35">
      <c r="A54" s="60" t="str">
        <f>VLOOKUP(B54,IKP!$Q$6:$R$124,2,FALSE)</f>
        <v>Zemgales statistiskais reģions</v>
      </c>
      <c r="B54" s="59" t="s">
        <v>50</v>
      </c>
      <c r="C54" s="65"/>
      <c r="D54" s="65">
        <v>24295</v>
      </c>
      <c r="E54" s="65">
        <v>23778</v>
      </c>
      <c r="F54" s="65">
        <v>23360</v>
      </c>
      <c r="G54" s="65">
        <v>22860</v>
      </c>
      <c r="H54" s="65">
        <v>22443</v>
      </c>
      <c r="I54" s="65">
        <v>22244</v>
      </c>
      <c r="J54" s="65">
        <v>22011</v>
      </c>
      <c r="K54" s="65">
        <v>22187</v>
      </c>
      <c r="L54" s="65">
        <v>22021</v>
      </c>
      <c r="M54" s="67">
        <v>18471</v>
      </c>
      <c r="P54" s="65">
        <f t="shared" si="5"/>
        <v>22021</v>
      </c>
      <c r="Q54" s="65">
        <f t="shared" si="6"/>
        <v>21627</v>
      </c>
      <c r="R54" s="65">
        <f t="shared" si="6"/>
        <v>21232</v>
      </c>
      <c r="S54" s="65">
        <f t="shared" si="6"/>
        <v>20838</v>
      </c>
      <c r="T54" s="65">
        <f t="shared" si="6"/>
        <v>20443</v>
      </c>
      <c r="U54" s="65">
        <f t="shared" si="6"/>
        <v>20049</v>
      </c>
      <c r="V54" s="65">
        <f t="shared" si="6"/>
        <v>19654</v>
      </c>
      <c r="W54" s="65">
        <f t="shared" si="6"/>
        <v>19260</v>
      </c>
      <c r="X54" s="65">
        <f t="shared" si="6"/>
        <v>18865</v>
      </c>
      <c r="Y54" s="60">
        <f t="shared" si="2"/>
        <v>18471</v>
      </c>
      <c r="Z54" s="52" t="s">
        <v>295</v>
      </c>
    </row>
    <row r="55" spans="1:26" x14ac:dyDescent="0.35">
      <c r="A55" s="60" t="str">
        <f>VLOOKUP(B55,IKP!$Q$6:$R$124,2,FALSE)</f>
        <v>Zemgales statistiskais reģions</v>
      </c>
      <c r="B55" s="59" t="s">
        <v>51</v>
      </c>
      <c r="C55" s="65"/>
      <c r="D55" s="65">
        <v>4956</v>
      </c>
      <c r="E55" s="65">
        <v>4860</v>
      </c>
      <c r="F55" s="65">
        <v>4772</v>
      </c>
      <c r="G55" s="65">
        <v>4689</v>
      </c>
      <c r="H55" s="65">
        <v>4548</v>
      </c>
      <c r="I55" s="65">
        <v>4419</v>
      </c>
      <c r="J55" s="65">
        <v>4293</v>
      </c>
      <c r="K55" s="65">
        <v>4234</v>
      </c>
      <c r="L55" s="65">
        <v>4164</v>
      </c>
      <c r="M55" s="67">
        <v>3397</v>
      </c>
      <c r="P55" s="65">
        <f t="shared" si="5"/>
        <v>4164</v>
      </c>
      <c r="Q55" s="65">
        <f t="shared" si="6"/>
        <v>4079</v>
      </c>
      <c r="R55" s="65">
        <f t="shared" si="6"/>
        <v>3994</v>
      </c>
      <c r="S55" s="65">
        <f t="shared" si="6"/>
        <v>3908</v>
      </c>
      <c r="T55" s="65">
        <f t="shared" si="6"/>
        <v>3823</v>
      </c>
      <c r="U55" s="65">
        <f t="shared" si="6"/>
        <v>3738</v>
      </c>
      <c r="V55" s="65">
        <f t="shared" si="6"/>
        <v>3653</v>
      </c>
      <c r="W55" s="65">
        <f t="shared" si="6"/>
        <v>3567</v>
      </c>
      <c r="X55" s="65">
        <f t="shared" si="6"/>
        <v>3482</v>
      </c>
      <c r="Y55" s="60">
        <f t="shared" si="2"/>
        <v>3397</v>
      </c>
      <c r="Z55" s="52" t="s">
        <v>295</v>
      </c>
    </row>
    <row r="56" spans="1:26" x14ac:dyDescent="0.35">
      <c r="A56" s="60" t="str">
        <f>VLOOKUP(B56,IKP!$Q$6:$R$124,2,FALSE)</f>
        <v>Pierīgas statistiskais reģions</v>
      </c>
      <c r="B56" s="59" t="s">
        <v>52</v>
      </c>
      <c r="C56" s="65"/>
      <c r="D56" s="65">
        <v>8808</v>
      </c>
      <c r="E56" s="65">
        <v>8672</v>
      </c>
      <c r="F56" s="65">
        <v>8504</v>
      </c>
      <c r="G56" s="65">
        <v>8332</v>
      </c>
      <c r="H56" s="65">
        <v>8085</v>
      </c>
      <c r="I56" s="65">
        <v>7853</v>
      </c>
      <c r="J56" s="65">
        <v>7664</v>
      </c>
      <c r="K56" s="65">
        <v>7553</v>
      </c>
      <c r="L56" s="65">
        <v>7462</v>
      </c>
      <c r="M56" s="67">
        <v>6295</v>
      </c>
      <c r="P56" s="65">
        <f t="shared" si="5"/>
        <v>7462</v>
      </c>
      <c r="Q56" s="65">
        <f t="shared" si="6"/>
        <v>7332</v>
      </c>
      <c r="R56" s="65">
        <f t="shared" si="6"/>
        <v>7203</v>
      </c>
      <c r="S56" s="65">
        <f t="shared" si="6"/>
        <v>7073</v>
      </c>
      <c r="T56" s="65">
        <f t="shared" si="6"/>
        <v>6943</v>
      </c>
      <c r="U56" s="65">
        <f t="shared" si="6"/>
        <v>6814</v>
      </c>
      <c r="V56" s="65">
        <f t="shared" si="6"/>
        <v>6684</v>
      </c>
      <c r="W56" s="65">
        <f t="shared" si="6"/>
        <v>6554</v>
      </c>
      <c r="X56" s="65">
        <f t="shared" si="6"/>
        <v>6425</v>
      </c>
      <c r="Y56" s="60">
        <f t="shared" si="2"/>
        <v>6295</v>
      </c>
      <c r="Z56" s="52" t="s">
        <v>292</v>
      </c>
    </row>
    <row r="57" spans="1:26" x14ac:dyDescent="0.35">
      <c r="A57" s="60" t="str">
        <f>VLOOKUP(B57,IKP!$Q$6:$R$124,2,FALSE)</f>
        <v>Latgales statistiskais reģions</v>
      </c>
      <c r="B57" s="59" t="s">
        <v>53</v>
      </c>
      <c r="C57" s="65"/>
      <c r="D57" s="65">
        <v>6034</v>
      </c>
      <c r="E57" s="65">
        <v>5913</v>
      </c>
      <c r="F57" s="65">
        <v>5812</v>
      </c>
      <c r="G57" s="65">
        <v>5679</v>
      </c>
      <c r="H57" s="65">
        <v>5532</v>
      </c>
      <c r="I57" s="65">
        <v>5393</v>
      </c>
      <c r="J57" s="65">
        <v>5278</v>
      </c>
      <c r="K57" s="65">
        <v>5238</v>
      </c>
      <c r="L57" s="65">
        <v>5127</v>
      </c>
      <c r="M57" s="67">
        <v>4017</v>
      </c>
      <c r="P57" s="65">
        <f t="shared" si="5"/>
        <v>5127</v>
      </c>
      <c r="Q57" s="65">
        <f t="shared" si="6"/>
        <v>5004</v>
      </c>
      <c r="R57" s="65">
        <f t="shared" si="6"/>
        <v>4880</v>
      </c>
      <c r="S57" s="65">
        <f t="shared" si="6"/>
        <v>4757</v>
      </c>
      <c r="T57" s="65">
        <f t="shared" si="6"/>
        <v>4634</v>
      </c>
      <c r="U57" s="65">
        <f t="shared" si="6"/>
        <v>4510</v>
      </c>
      <c r="V57" s="65">
        <f t="shared" si="6"/>
        <v>4387</v>
      </c>
      <c r="W57" s="65">
        <f t="shared" si="6"/>
        <v>4264</v>
      </c>
      <c r="X57" s="65">
        <f t="shared" si="6"/>
        <v>4140</v>
      </c>
      <c r="Y57" s="60">
        <f t="shared" si="2"/>
        <v>4017</v>
      </c>
      <c r="Z57" s="52" t="s">
        <v>296</v>
      </c>
    </row>
    <row r="58" spans="1:26" x14ac:dyDescent="0.35">
      <c r="A58" s="60" t="str">
        <f>VLOOKUP(B58,IKP!$Q$6:$R$124,2,FALSE)</f>
        <v>Vidzemes statistiskais reģions</v>
      </c>
      <c r="B58" s="59" t="s">
        <v>54</v>
      </c>
      <c r="C58" s="65"/>
      <c r="D58" s="65">
        <v>6263</v>
      </c>
      <c r="E58" s="65">
        <v>6226</v>
      </c>
      <c r="F58" s="65">
        <v>6147</v>
      </c>
      <c r="G58" s="65">
        <v>6092</v>
      </c>
      <c r="H58" s="65">
        <v>5980</v>
      </c>
      <c r="I58" s="65">
        <v>5912</v>
      </c>
      <c r="J58" s="65">
        <v>5832</v>
      </c>
      <c r="K58" s="65">
        <v>5806</v>
      </c>
      <c r="L58" s="65">
        <v>5776</v>
      </c>
      <c r="M58" s="67">
        <v>4975</v>
      </c>
      <c r="P58" s="65">
        <f t="shared" si="5"/>
        <v>5776</v>
      </c>
      <c r="Q58" s="65">
        <f t="shared" si="6"/>
        <v>5687</v>
      </c>
      <c r="R58" s="65">
        <f t="shared" si="6"/>
        <v>5598</v>
      </c>
      <c r="S58" s="65">
        <f t="shared" si="6"/>
        <v>5509</v>
      </c>
      <c r="T58" s="65">
        <f t="shared" si="6"/>
        <v>5420</v>
      </c>
      <c r="U58" s="65">
        <f t="shared" si="6"/>
        <v>5331</v>
      </c>
      <c r="V58" s="65">
        <f t="shared" si="6"/>
        <v>5242</v>
      </c>
      <c r="W58" s="65">
        <f t="shared" si="6"/>
        <v>5153</v>
      </c>
      <c r="X58" s="65">
        <f t="shared" si="6"/>
        <v>5064</v>
      </c>
      <c r="Y58" s="60">
        <f t="shared" si="2"/>
        <v>4975</v>
      </c>
      <c r="Z58" s="52" t="s">
        <v>294</v>
      </c>
    </row>
    <row r="59" spans="1:26" x14ac:dyDescent="0.35">
      <c r="A59" s="60" t="str">
        <f>VLOOKUP(B59,IKP!$Q$6:$R$124,2,FALSE)</f>
        <v>Zemgales statistiskais reģions</v>
      </c>
      <c r="B59" s="59" t="s">
        <v>55</v>
      </c>
      <c r="C59" s="65"/>
      <c r="D59" s="65">
        <v>5384</v>
      </c>
      <c r="E59" s="65">
        <v>5334</v>
      </c>
      <c r="F59" s="65">
        <v>5295</v>
      </c>
      <c r="G59" s="65">
        <v>5217</v>
      </c>
      <c r="H59" s="65">
        <v>5099</v>
      </c>
      <c r="I59" s="65">
        <v>5020</v>
      </c>
      <c r="J59" s="65">
        <v>5013</v>
      </c>
      <c r="K59" s="65">
        <v>4945</v>
      </c>
      <c r="L59" s="65">
        <v>4851</v>
      </c>
      <c r="M59" s="67">
        <v>4292</v>
      </c>
      <c r="P59" s="65">
        <f t="shared" si="5"/>
        <v>4851</v>
      </c>
      <c r="Q59" s="65">
        <f t="shared" si="6"/>
        <v>4789</v>
      </c>
      <c r="R59" s="65">
        <f t="shared" si="6"/>
        <v>4727</v>
      </c>
      <c r="S59" s="65">
        <f t="shared" si="6"/>
        <v>4665</v>
      </c>
      <c r="T59" s="65">
        <f t="shared" si="6"/>
        <v>4603</v>
      </c>
      <c r="U59" s="65">
        <f t="shared" si="6"/>
        <v>4540</v>
      </c>
      <c r="V59" s="65">
        <f t="shared" si="6"/>
        <v>4478</v>
      </c>
      <c r="W59" s="65">
        <f t="shared" si="6"/>
        <v>4416</v>
      </c>
      <c r="X59" s="65">
        <f t="shared" si="6"/>
        <v>4354</v>
      </c>
      <c r="Y59" s="60">
        <f t="shared" si="2"/>
        <v>4292</v>
      </c>
      <c r="Z59" s="52" t="s">
        <v>295</v>
      </c>
    </row>
    <row r="60" spans="1:26" x14ac:dyDescent="0.35">
      <c r="A60" s="60" t="str">
        <f>VLOOKUP(B60,IKP!$Q$6:$R$124,2,FALSE)</f>
        <v>Latgales statistiskais reģions</v>
      </c>
      <c r="B60" s="59" t="s">
        <v>56</v>
      </c>
      <c r="C60" s="65"/>
      <c r="D60" s="65">
        <v>16755</v>
      </c>
      <c r="E60" s="65">
        <v>16291</v>
      </c>
      <c r="F60" s="65">
        <v>15854</v>
      </c>
      <c r="G60" s="65">
        <v>15436</v>
      </c>
      <c r="H60" s="65">
        <v>14963</v>
      </c>
      <c r="I60" s="65">
        <v>14542</v>
      </c>
      <c r="J60" s="65">
        <v>14155</v>
      </c>
      <c r="K60" s="65">
        <v>13863</v>
      </c>
      <c r="L60" s="65">
        <v>13533</v>
      </c>
      <c r="M60" s="67">
        <v>10155</v>
      </c>
      <c r="P60" s="65">
        <f t="shared" si="5"/>
        <v>13533</v>
      </c>
      <c r="Q60" s="65">
        <f t="shared" si="6"/>
        <v>13158</v>
      </c>
      <c r="R60" s="65">
        <f t="shared" si="6"/>
        <v>12782</v>
      </c>
      <c r="S60" s="65">
        <f t="shared" si="6"/>
        <v>12407</v>
      </c>
      <c r="T60" s="65">
        <f t="shared" si="6"/>
        <v>12032</v>
      </c>
      <c r="U60" s="65">
        <f t="shared" si="6"/>
        <v>11656</v>
      </c>
      <c r="V60" s="65">
        <f t="shared" si="6"/>
        <v>11281</v>
      </c>
      <c r="W60" s="65">
        <f t="shared" si="6"/>
        <v>10906</v>
      </c>
      <c r="X60" s="65">
        <f t="shared" si="6"/>
        <v>10530</v>
      </c>
      <c r="Y60" s="60">
        <f t="shared" si="2"/>
        <v>10155</v>
      </c>
      <c r="Z60" s="52" t="s">
        <v>296</v>
      </c>
    </row>
    <row r="61" spans="1:26" x14ac:dyDescent="0.35">
      <c r="A61" s="60" t="str">
        <f>VLOOKUP(B61,IKP!$Q$6:$R$124,2,FALSE)</f>
        <v>Pierīgas statistiskais reģions</v>
      </c>
      <c r="B61" s="59" t="s">
        <v>57</v>
      </c>
      <c r="C61" s="65"/>
      <c r="D61" s="65">
        <v>5232</v>
      </c>
      <c r="E61" s="65">
        <v>5176</v>
      </c>
      <c r="F61" s="65">
        <v>5169</v>
      </c>
      <c r="G61" s="65">
        <v>5109</v>
      </c>
      <c r="H61" s="65">
        <v>4969</v>
      </c>
      <c r="I61" s="65">
        <v>4885</v>
      </c>
      <c r="J61" s="65">
        <v>4858</v>
      </c>
      <c r="K61" s="65">
        <v>4893</v>
      </c>
      <c r="L61" s="65">
        <v>4833</v>
      </c>
      <c r="M61" s="67">
        <v>4209</v>
      </c>
      <c r="P61" s="65">
        <f t="shared" si="5"/>
        <v>4833</v>
      </c>
      <c r="Q61" s="65">
        <f t="shared" si="6"/>
        <v>4764</v>
      </c>
      <c r="R61" s="65">
        <f t="shared" si="6"/>
        <v>4694</v>
      </c>
      <c r="S61" s="65">
        <f t="shared" si="6"/>
        <v>4625</v>
      </c>
      <c r="T61" s="65">
        <f t="shared" si="6"/>
        <v>4556</v>
      </c>
      <c r="U61" s="65">
        <f t="shared" si="6"/>
        <v>4486</v>
      </c>
      <c r="V61" s="65">
        <f t="shared" si="6"/>
        <v>4417</v>
      </c>
      <c r="W61" s="65">
        <f t="shared" si="6"/>
        <v>4348</v>
      </c>
      <c r="X61" s="65">
        <f t="shared" si="6"/>
        <v>4278</v>
      </c>
      <c r="Y61" s="60">
        <f t="shared" si="2"/>
        <v>4209</v>
      </c>
      <c r="Z61" s="52" t="s">
        <v>292</v>
      </c>
    </row>
    <row r="62" spans="1:26" x14ac:dyDescent="0.35">
      <c r="A62" s="60" t="str">
        <f>VLOOKUP(B62,IKP!$Q$6:$R$124,2,FALSE)</f>
        <v>Zemgales statistiskais reģions</v>
      </c>
      <c r="B62" s="59" t="s">
        <v>58</v>
      </c>
      <c r="C62" s="65"/>
      <c r="D62" s="65">
        <v>6053</v>
      </c>
      <c r="E62" s="65">
        <v>5977</v>
      </c>
      <c r="F62" s="65">
        <v>5908</v>
      </c>
      <c r="G62" s="65">
        <v>5828</v>
      </c>
      <c r="H62" s="65">
        <v>5747</v>
      </c>
      <c r="I62" s="65">
        <v>5603</v>
      </c>
      <c r="J62" s="65">
        <v>5496</v>
      </c>
      <c r="K62" s="65">
        <v>5547</v>
      </c>
      <c r="L62" s="65">
        <v>5461</v>
      </c>
      <c r="M62" s="67">
        <v>4811</v>
      </c>
      <c r="P62" s="65">
        <f t="shared" si="5"/>
        <v>5461</v>
      </c>
      <c r="Q62" s="65">
        <f t="shared" si="6"/>
        <v>5389</v>
      </c>
      <c r="R62" s="65">
        <f t="shared" si="6"/>
        <v>5317</v>
      </c>
      <c r="S62" s="65">
        <f t="shared" si="6"/>
        <v>5244</v>
      </c>
      <c r="T62" s="65">
        <f t="shared" si="6"/>
        <v>5172</v>
      </c>
      <c r="U62" s="65">
        <f t="shared" si="6"/>
        <v>5100</v>
      </c>
      <c r="V62" s="65">
        <f t="shared" si="6"/>
        <v>5028</v>
      </c>
      <c r="W62" s="65">
        <f t="shared" si="6"/>
        <v>4955</v>
      </c>
      <c r="X62" s="65">
        <f t="shared" si="6"/>
        <v>4883</v>
      </c>
      <c r="Y62" s="60">
        <f t="shared" si="2"/>
        <v>4811</v>
      </c>
      <c r="Z62" s="52" t="s">
        <v>295</v>
      </c>
    </row>
    <row r="63" spans="1:26" x14ac:dyDescent="0.35">
      <c r="A63" s="60" t="str">
        <f>VLOOKUP(B63,IKP!$Q$6:$R$124,2,FALSE)</f>
        <v>Kurzemes statistiskais reģions</v>
      </c>
      <c r="B63" s="59" t="s">
        <v>59</v>
      </c>
      <c r="C63" s="65"/>
      <c r="D63" s="65">
        <v>24539</v>
      </c>
      <c r="E63" s="65">
        <v>24190</v>
      </c>
      <c r="F63" s="65">
        <v>23898</v>
      </c>
      <c r="G63" s="65">
        <v>23515</v>
      </c>
      <c r="H63" s="65">
        <v>22989</v>
      </c>
      <c r="I63" s="65">
        <v>22630</v>
      </c>
      <c r="J63" s="65">
        <v>22313</v>
      </c>
      <c r="K63" s="65">
        <v>22214</v>
      </c>
      <c r="L63" s="65">
        <v>21907</v>
      </c>
      <c r="M63" s="67">
        <v>18878</v>
      </c>
      <c r="P63" s="65">
        <f t="shared" si="5"/>
        <v>21907</v>
      </c>
      <c r="Q63" s="65">
        <f t="shared" si="6"/>
        <v>21570</v>
      </c>
      <c r="R63" s="65">
        <f t="shared" si="6"/>
        <v>21234</v>
      </c>
      <c r="S63" s="65">
        <f t="shared" si="6"/>
        <v>20897</v>
      </c>
      <c r="T63" s="65">
        <f t="shared" si="6"/>
        <v>20561</v>
      </c>
      <c r="U63" s="65">
        <f t="shared" si="6"/>
        <v>20224</v>
      </c>
      <c r="V63" s="65">
        <f t="shared" si="6"/>
        <v>19888</v>
      </c>
      <c r="W63" s="65">
        <f t="shared" si="6"/>
        <v>19551</v>
      </c>
      <c r="X63" s="65">
        <f t="shared" si="6"/>
        <v>19215</v>
      </c>
      <c r="Y63" s="60">
        <f t="shared" si="2"/>
        <v>18878</v>
      </c>
      <c r="Z63" s="52" t="s">
        <v>293</v>
      </c>
    </row>
    <row r="64" spans="1:26" x14ac:dyDescent="0.35">
      <c r="A64" s="60" t="str">
        <f>VLOOKUP(B64,IKP!$Q$6:$R$124,2,FALSE)</f>
        <v>Pierīgas statistiskais reģions</v>
      </c>
      <c r="B64" s="59" t="s">
        <v>60</v>
      </c>
      <c r="C64" s="65"/>
      <c r="D64" s="65">
        <v>5650</v>
      </c>
      <c r="E64" s="65">
        <v>5586</v>
      </c>
      <c r="F64" s="65">
        <v>5546</v>
      </c>
      <c r="G64" s="65">
        <v>5448</v>
      </c>
      <c r="H64" s="65">
        <v>5427</v>
      </c>
      <c r="I64" s="65">
        <v>5374</v>
      </c>
      <c r="J64" s="65">
        <v>5344</v>
      </c>
      <c r="K64" s="65">
        <v>5335</v>
      </c>
      <c r="L64" s="65">
        <v>5313</v>
      </c>
      <c r="M64" s="67">
        <v>4786</v>
      </c>
      <c r="P64" s="65">
        <f t="shared" si="5"/>
        <v>5313</v>
      </c>
      <c r="Q64" s="65">
        <f t="shared" si="6"/>
        <v>5254</v>
      </c>
      <c r="R64" s="65">
        <f t="shared" si="6"/>
        <v>5196</v>
      </c>
      <c r="S64" s="65">
        <f t="shared" si="6"/>
        <v>5137</v>
      </c>
      <c r="T64" s="65">
        <f t="shared" si="6"/>
        <v>5079</v>
      </c>
      <c r="U64" s="65">
        <f t="shared" si="6"/>
        <v>5020</v>
      </c>
      <c r="V64" s="65">
        <f t="shared" si="6"/>
        <v>4962</v>
      </c>
      <c r="W64" s="65">
        <f t="shared" si="6"/>
        <v>4903</v>
      </c>
      <c r="X64" s="65">
        <f t="shared" si="6"/>
        <v>4845</v>
      </c>
      <c r="Y64" s="60">
        <f t="shared" si="2"/>
        <v>4786</v>
      </c>
      <c r="Z64" s="52" t="s">
        <v>292</v>
      </c>
    </row>
    <row r="65" spans="1:26" x14ac:dyDescent="0.35">
      <c r="A65" s="60" t="str">
        <f>VLOOKUP(B65,IKP!$Q$6:$R$124,2,FALSE)</f>
        <v>Pierīgas statistiskais reģions</v>
      </c>
      <c r="B65" s="59" t="s">
        <v>61</v>
      </c>
      <c r="C65" s="65"/>
      <c r="D65" s="65">
        <v>22337</v>
      </c>
      <c r="E65" s="65">
        <v>22335</v>
      </c>
      <c r="F65" s="65">
        <v>22630</v>
      </c>
      <c r="G65" s="65">
        <v>22745</v>
      </c>
      <c r="H65" s="65">
        <v>22639</v>
      </c>
      <c r="I65" s="65">
        <v>23042</v>
      </c>
      <c r="J65" s="65">
        <v>23698</v>
      </c>
      <c r="K65" s="65">
        <v>24269</v>
      </c>
      <c r="L65" s="65">
        <v>24631</v>
      </c>
      <c r="M65" s="67">
        <v>24889</v>
      </c>
      <c r="P65" s="65">
        <f t="shared" si="5"/>
        <v>24631</v>
      </c>
      <c r="Q65" s="65">
        <f t="shared" si="6"/>
        <v>24660</v>
      </c>
      <c r="R65" s="65">
        <f t="shared" si="6"/>
        <v>24688</v>
      </c>
      <c r="S65" s="65">
        <f t="shared" si="6"/>
        <v>24717</v>
      </c>
      <c r="T65" s="65">
        <f t="shared" si="6"/>
        <v>24746</v>
      </c>
      <c r="U65" s="65">
        <f t="shared" si="6"/>
        <v>24774</v>
      </c>
      <c r="V65" s="65">
        <f t="shared" si="6"/>
        <v>24803</v>
      </c>
      <c r="W65" s="65">
        <f t="shared" si="6"/>
        <v>24832</v>
      </c>
      <c r="X65" s="65">
        <f t="shared" si="6"/>
        <v>24860</v>
      </c>
      <c r="Y65" s="60">
        <f t="shared" si="2"/>
        <v>24889</v>
      </c>
      <c r="Z65" s="52" t="s">
        <v>292</v>
      </c>
    </row>
    <row r="66" spans="1:26" x14ac:dyDescent="0.35">
      <c r="A66" s="60" t="str">
        <f>VLOOKUP(B66,IKP!$Q$6:$R$124,2,FALSE)</f>
        <v>Pierīgas statistiskais reģions</v>
      </c>
      <c r="B66" s="59" t="s">
        <v>62</v>
      </c>
      <c r="C66" s="65"/>
      <c r="D66" s="65">
        <v>10282</v>
      </c>
      <c r="E66" s="65">
        <v>10174</v>
      </c>
      <c r="F66" s="65">
        <v>10050</v>
      </c>
      <c r="G66" s="65">
        <v>9958</v>
      </c>
      <c r="H66" s="65">
        <v>9758</v>
      </c>
      <c r="I66" s="65">
        <v>9735</v>
      </c>
      <c r="J66" s="65">
        <v>9643</v>
      </c>
      <c r="K66" s="65">
        <v>9624</v>
      </c>
      <c r="L66" s="65">
        <v>9547</v>
      </c>
      <c r="M66" s="67">
        <v>8686</v>
      </c>
      <c r="P66" s="65">
        <f t="shared" si="5"/>
        <v>9547</v>
      </c>
      <c r="Q66" s="65">
        <f t="shared" si="6"/>
        <v>9451</v>
      </c>
      <c r="R66" s="65">
        <f t="shared" si="6"/>
        <v>9356</v>
      </c>
      <c r="S66" s="65">
        <f t="shared" si="6"/>
        <v>9260</v>
      </c>
      <c r="T66" s="65">
        <f t="shared" si="6"/>
        <v>9164</v>
      </c>
      <c r="U66" s="65">
        <f t="shared" si="6"/>
        <v>9069</v>
      </c>
      <c r="V66" s="65">
        <f t="shared" si="6"/>
        <v>8973</v>
      </c>
      <c r="W66" s="65">
        <f t="shared" si="6"/>
        <v>8877</v>
      </c>
      <c r="X66" s="65">
        <f t="shared" si="6"/>
        <v>8782</v>
      </c>
      <c r="Y66" s="60">
        <f t="shared" si="2"/>
        <v>8686</v>
      </c>
      <c r="Z66" s="52" t="s">
        <v>292</v>
      </c>
    </row>
    <row r="67" spans="1:26" x14ac:dyDescent="0.35">
      <c r="A67" s="60" t="str">
        <f>VLOOKUP(B67,IKP!$Q$6:$R$124,2,FALSE)</f>
        <v>Pierīgas statistiskais reģions</v>
      </c>
      <c r="B67" s="59" t="s">
        <v>63</v>
      </c>
      <c r="C67" s="65"/>
      <c r="D67" s="65">
        <v>17498</v>
      </c>
      <c r="E67" s="65">
        <v>17262</v>
      </c>
      <c r="F67" s="65">
        <v>17098</v>
      </c>
      <c r="G67" s="65">
        <v>16836</v>
      </c>
      <c r="H67" s="65">
        <v>16571</v>
      </c>
      <c r="I67" s="65">
        <v>16312</v>
      </c>
      <c r="J67" s="65">
        <v>16301</v>
      </c>
      <c r="K67" s="65">
        <v>16772</v>
      </c>
      <c r="L67" s="65">
        <v>16744</v>
      </c>
      <c r="M67" s="67">
        <v>14017</v>
      </c>
      <c r="P67" s="65">
        <f t="shared" si="5"/>
        <v>16744</v>
      </c>
      <c r="Q67" s="65">
        <f t="shared" si="6"/>
        <v>16441</v>
      </c>
      <c r="R67" s="65">
        <f t="shared" si="6"/>
        <v>16138</v>
      </c>
      <c r="S67" s="65">
        <f t="shared" si="6"/>
        <v>15835</v>
      </c>
      <c r="T67" s="65">
        <f t="shared" si="6"/>
        <v>15532</v>
      </c>
      <c r="U67" s="65">
        <f t="shared" si="6"/>
        <v>15229</v>
      </c>
      <c r="V67" s="65">
        <f t="shared" si="6"/>
        <v>14926</v>
      </c>
      <c r="W67" s="65">
        <f t="shared" si="6"/>
        <v>14623</v>
      </c>
      <c r="X67" s="65">
        <f t="shared" si="6"/>
        <v>14320</v>
      </c>
      <c r="Y67" s="60">
        <f t="shared" si="2"/>
        <v>14017</v>
      </c>
      <c r="Z67" s="52" t="s">
        <v>292</v>
      </c>
    </row>
    <row r="68" spans="1:26" x14ac:dyDescent="0.35">
      <c r="A68" s="60" t="str">
        <f>VLOOKUP(B68,IKP!$Q$6:$R$124,2,FALSE)</f>
        <v>Vidzemes statistiskais reģions</v>
      </c>
      <c r="B68" s="59" t="s">
        <v>64</v>
      </c>
      <c r="C68" s="65"/>
      <c r="D68" s="65">
        <v>3603</v>
      </c>
      <c r="E68" s="65">
        <v>3532</v>
      </c>
      <c r="F68" s="65">
        <v>3481</v>
      </c>
      <c r="G68" s="65">
        <v>3404</v>
      </c>
      <c r="H68" s="65">
        <v>3314</v>
      </c>
      <c r="I68" s="65">
        <v>3262</v>
      </c>
      <c r="J68" s="65">
        <v>3264</v>
      </c>
      <c r="K68" s="65">
        <v>3261</v>
      </c>
      <c r="L68" s="65">
        <v>3258</v>
      </c>
      <c r="M68" s="67">
        <v>2478</v>
      </c>
      <c r="P68" s="65">
        <f t="shared" si="5"/>
        <v>3258</v>
      </c>
      <c r="Q68" s="65">
        <f t="shared" si="6"/>
        <v>3171</v>
      </c>
      <c r="R68" s="65">
        <f t="shared" si="6"/>
        <v>3085</v>
      </c>
      <c r="S68" s="65">
        <f t="shared" si="6"/>
        <v>2998</v>
      </c>
      <c r="T68" s="65">
        <f t="shared" si="6"/>
        <v>2911</v>
      </c>
      <c r="U68" s="65">
        <f t="shared" si="6"/>
        <v>2825</v>
      </c>
      <c r="V68" s="65">
        <f t="shared" si="6"/>
        <v>2738</v>
      </c>
      <c r="W68" s="65">
        <f t="shared" si="6"/>
        <v>2651</v>
      </c>
      <c r="X68" s="65">
        <f t="shared" si="6"/>
        <v>2565</v>
      </c>
      <c r="Y68" s="60">
        <f t="shared" si="2"/>
        <v>2478</v>
      </c>
      <c r="Z68" s="52" t="s">
        <v>294</v>
      </c>
    </row>
    <row r="69" spans="1:26" x14ac:dyDescent="0.35">
      <c r="A69" s="60" t="str">
        <f>VLOOKUP(B69,IKP!$Q$6:$R$124,2,FALSE)</f>
        <v>Latgales statistiskais reģions</v>
      </c>
      <c r="B69" s="59" t="s">
        <v>65</v>
      </c>
      <c r="C69" s="65"/>
      <c r="D69" s="65">
        <v>12030</v>
      </c>
      <c r="E69" s="65">
        <v>11799</v>
      </c>
      <c r="F69" s="65">
        <v>11652</v>
      </c>
      <c r="G69" s="65">
        <v>11473</v>
      </c>
      <c r="H69" s="65">
        <v>11200</v>
      </c>
      <c r="I69" s="65">
        <v>11029</v>
      </c>
      <c r="J69" s="65">
        <v>10832</v>
      </c>
      <c r="K69" s="65">
        <v>10833</v>
      </c>
      <c r="L69" s="65">
        <v>10636</v>
      </c>
      <c r="M69" s="67">
        <v>8637</v>
      </c>
      <c r="P69" s="65">
        <f t="shared" ref="P69:P123" si="7">L69</f>
        <v>10636</v>
      </c>
      <c r="Q69" s="65">
        <f t="shared" si="6"/>
        <v>10414</v>
      </c>
      <c r="R69" s="65">
        <f t="shared" si="6"/>
        <v>10192</v>
      </c>
      <c r="S69" s="65">
        <f t="shared" si="6"/>
        <v>9970</v>
      </c>
      <c r="T69" s="65">
        <f t="shared" si="6"/>
        <v>9748</v>
      </c>
      <c r="U69" s="65">
        <f t="shared" si="6"/>
        <v>9525</v>
      </c>
      <c r="V69" s="65">
        <f t="shared" si="6"/>
        <v>9303</v>
      </c>
      <c r="W69" s="65">
        <f t="shared" si="6"/>
        <v>9081</v>
      </c>
      <c r="X69" s="65">
        <f t="shared" ref="R69:X106" si="8">ROUND((_xlfn.FORECAST.LINEAR(X$3,$L69:$M69,$L$3:$M$3)),0)</f>
        <v>8859</v>
      </c>
      <c r="Y69" s="60">
        <f t="shared" ref="Y69:Y123" si="9">M69</f>
        <v>8637</v>
      </c>
      <c r="Z69" s="52" t="s">
        <v>296</v>
      </c>
    </row>
    <row r="70" spans="1:26" x14ac:dyDescent="0.35">
      <c r="A70" s="60" t="str">
        <f>VLOOKUP(B70,IKP!$Q$6:$R$124,2,FALSE)</f>
        <v>Vidzemes statistiskais reģions</v>
      </c>
      <c r="B70" s="59" t="s">
        <v>66</v>
      </c>
      <c r="C70" s="65"/>
      <c r="D70" s="65">
        <v>2502</v>
      </c>
      <c r="E70" s="65">
        <v>2475</v>
      </c>
      <c r="F70" s="65">
        <v>2444</v>
      </c>
      <c r="G70" s="65">
        <v>2371</v>
      </c>
      <c r="H70" s="65">
        <v>2312</v>
      </c>
      <c r="I70" s="65">
        <v>2287</v>
      </c>
      <c r="J70" s="65">
        <v>2226</v>
      </c>
      <c r="K70" s="65">
        <v>2223</v>
      </c>
      <c r="L70" s="65">
        <v>2163</v>
      </c>
      <c r="M70" s="67">
        <v>1805</v>
      </c>
      <c r="P70" s="65">
        <f t="shared" si="7"/>
        <v>2163</v>
      </c>
      <c r="Q70" s="65">
        <f t="shared" ref="Q70:Q123" si="10">ROUND((_xlfn.FORECAST.LINEAR(Q$3,$L70:$M70,$L$3:$M$3)),0)</f>
        <v>2123</v>
      </c>
      <c r="R70" s="65">
        <f t="shared" si="8"/>
        <v>2083</v>
      </c>
      <c r="S70" s="65">
        <f t="shared" si="8"/>
        <v>2044</v>
      </c>
      <c r="T70" s="65">
        <f t="shared" si="8"/>
        <v>2004</v>
      </c>
      <c r="U70" s="65">
        <f t="shared" si="8"/>
        <v>1964</v>
      </c>
      <c r="V70" s="65">
        <f t="shared" si="8"/>
        <v>1924</v>
      </c>
      <c r="W70" s="65">
        <f t="shared" si="8"/>
        <v>1885</v>
      </c>
      <c r="X70" s="65">
        <f t="shared" si="8"/>
        <v>1845</v>
      </c>
      <c r="Y70" s="60">
        <f t="shared" si="9"/>
        <v>1805</v>
      </c>
      <c r="Z70" s="52" t="s">
        <v>294</v>
      </c>
    </row>
    <row r="71" spans="1:26" x14ac:dyDescent="0.35">
      <c r="A71" s="60" t="str">
        <f>VLOOKUP(B71,IKP!$Q$6:$R$124,2,FALSE)</f>
        <v>Latgales statistiskais reģions</v>
      </c>
      <c r="B71" s="59" t="s">
        <v>67</v>
      </c>
      <c r="C71" s="65"/>
      <c r="D71" s="65">
        <v>13742</v>
      </c>
      <c r="E71" s="65">
        <v>13439</v>
      </c>
      <c r="F71" s="65">
        <v>13250</v>
      </c>
      <c r="G71" s="65">
        <v>12963</v>
      </c>
      <c r="H71" s="65">
        <v>12739</v>
      </c>
      <c r="I71" s="65">
        <v>12416</v>
      </c>
      <c r="J71" s="65">
        <v>12196</v>
      </c>
      <c r="K71" s="65">
        <v>11937</v>
      </c>
      <c r="L71" s="65">
        <v>11739</v>
      </c>
      <c r="M71" s="67">
        <v>9579</v>
      </c>
      <c r="P71" s="65">
        <f t="shared" si="7"/>
        <v>11739</v>
      </c>
      <c r="Q71" s="65">
        <f t="shared" si="10"/>
        <v>11499</v>
      </c>
      <c r="R71" s="65">
        <f t="shared" si="8"/>
        <v>11259</v>
      </c>
      <c r="S71" s="65">
        <f t="shared" si="8"/>
        <v>11019</v>
      </c>
      <c r="T71" s="65">
        <f t="shared" si="8"/>
        <v>10779</v>
      </c>
      <c r="U71" s="65">
        <f t="shared" si="8"/>
        <v>10539</v>
      </c>
      <c r="V71" s="65">
        <f t="shared" si="8"/>
        <v>10299</v>
      </c>
      <c r="W71" s="65">
        <f t="shared" si="8"/>
        <v>10059</v>
      </c>
      <c r="X71" s="65">
        <f t="shared" si="8"/>
        <v>9819</v>
      </c>
      <c r="Y71" s="60">
        <f t="shared" si="9"/>
        <v>9579</v>
      </c>
      <c r="Z71" s="52" t="s">
        <v>296</v>
      </c>
    </row>
    <row r="72" spans="1:26" x14ac:dyDescent="0.35">
      <c r="A72" s="60" t="str">
        <f>VLOOKUP(B72,IKP!$Q$6:$R$124,2,FALSE)</f>
        <v>Vidzemes statistiskais reģions</v>
      </c>
      <c r="B72" s="59" t="s">
        <v>68</v>
      </c>
      <c r="C72" s="65"/>
      <c r="D72" s="65">
        <v>24603</v>
      </c>
      <c r="E72" s="65">
        <v>24134</v>
      </c>
      <c r="F72" s="65">
        <v>23778</v>
      </c>
      <c r="G72" s="65">
        <v>23441</v>
      </c>
      <c r="H72" s="65">
        <v>22945</v>
      </c>
      <c r="I72" s="65">
        <v>22604</v>
      </c>
      <c r="J72" s="65">
        <v>22261</v>
      </c>
      <c r="K72" s="65">
        <v>22069</v>
      </c>
      <c r="L72" s="65">
        <v>21676</v>
      </c>
      <c r="M72" s="67">
        <v>17645</v>
      </c>
      <c r="P72" s="65">
        <f t="shared" si="7"/>
        <v>21676</v>
      </c>
      <c r="Q72" s="65">
        <f t="shared" si="10"/>
        <v>21228</v>
      </c>
      <c r="R72" s="65">
        <f t="shared" si="8"/>
        <v>20780</v>
      </c>
      <c r="S72" s="65">
        <f t="shared" si="8"/>
        <v>20332</v>
      </c>
      <c r="T72" s="65">
        <f t="shared" si="8"/>
        <v>19884</v>
      </c>
      <c r="U72" s="65">
        <f t="shared" si="8"/>
        <v>19437</v>
      </c>
      <c r="V72" s="65">
        <f t="shared" si="8"/>
        <v>18989</v>
      </c>
      <c r="W72" s="65">
        <f t="shared" si="8"/>
        <v>18541</v>
      </c>
      <c r="X72" s="65">
        <f t="shared" si="8"/>
        <v>18093</v>
      </c>
      <c r="Y72" s="60">
        <f t="shared" si="9"/>
        <v>17645</v>
      </c>
      <c r="Z72" s="52" t="s">
        <v>294</v>
      </c>
    </row>
    <row r="73" spans="1:26" x14ac:dyDescent="0.35">
      <c r="A73" s="60" t="str">
        <f>VLOOKUP(B73,IKP!$Q$6:$R$124,2,FALSE)</f>
        <v>Vidzemes statistiskais reģions</v>
      </c>
      <c r="B73" s="59" t="s">
        <v>69</v>
      </c>
      <c r="C73" s="65"/>
      <c r="D73" s="65">
        <v>3397</v>
      </c>
      <c r="E73" s="65">
        <v>3314</v>
      </c>
      <c r="F73" s="65">
        <v>3239</v>
      </c>
      <c r="G73" s="65">
        <v>3147</v>
      </c>
      <c r="H73" s="65">
        <v>3030</v>
      </c>
      <c r="I73" s="65">
        <v>2990</v>
      </c>
      <c r="J73" s="65">
        <v>2932</v>
      </c>
      <c r="K73" s="65">
        <v>2932</v>
      </c>
      <c r="L73" s="65">
        <v>2867</v>
      </c>
      <c r="M73" s="67">
        <v>2177</v>
      </c>
      <c r="P73" s="65">
        <f t="shared" si="7"/>
        <v>2867</v>
      </c>
      <c r="Q73" s="65">
        <f t="shared" si="10"/>
        <v>2790</v>
      </c>
      <c r="R73" s="65">
        <f t="shared" si="8"/>
        <v>2714</v>
      </c>
      <c r="S73" s="65">
        <f t="shared" si="8"/>
        <v>2637</v>
      </c>
      <c r="T73" s="65">
        <f t="shared" si="8"/>
        <v>2560</v>
      </c>
      <c r="U73" s="65">
        <f t="shared" si="8"/>
        <v>2484</v>
      </c>
      <c r="V73" s="65">
        <f t="shared" si="8"/>
        <v>2407</v>
      </c>
      <c r="W73" s="65">
        <f t="shared" si="8"/>
        <v>2330</v>
      </c>
      <c r="X73" s="65">
        <f t="shared" si="8"/>
        <v>2254</v>
      </c>
      <c r="Y73" s="60">
        <f t="shared" si="9"/>
        <v>2177</v>
      </c>
      <c r="Z73" s="52" t="s">
        <v>294</v>
      </c>
    </row>
    <row r="74" spans="1:26" x14ac:dyDescent="0.35">
      <c r="A74" s="60" t="str">
        <f>VLOOKUP(B74,IKP!$Q$6:$R$124,2,FALSE)</f>
        <v>Pierīgas statistiskais reģions</v>
      </c>
      <c r="B74" s="59" t="s">
        <v>70</v>
      </c>
      <c r="C74" s="65"/>
      <c r="D74" s="65">
        <v>3548</v>
      </c>
      <c r="E74" s="65">
        <v>3522</v>
      </c>
      <c r="F74" s="65">
        <v>3516</v>
      </c>
      <c r="G74" s="65">
        <v>3470</v>
      </c>
      <c r="H74" s="65">
        <v>3411</v>
      </c>
      <c r="I74" s="65">
        <v>3411</v>
      </c>
      <c r="J74" s="65">
        <v>3350</v>
      </c>
      <c r="K74" s="65">
        <v>3373</v>
      </c>
      <c r="L74" s="65">
        <v>3324</v>
      </c>
      <c r="M74" s="67">
        <v>3070</v>
      </c>
      <c r="P74" s="65">
        <f t="shared" si="7"/>
        <v>3324</v>
      </c>
      <c r="Q74" s="65">
        <f t="shared" si="10"/>
        <v>3296</v>
      </c>
      <c r="R74" s="65">
        <f t="shared" si="8"/>
        <v>3268</v>
      </c>
      <c r="S74" s="65">
        <f t="shared" si="8"/>
        <v>3239</v>
      </c>
      <c r="T74" s="65">
        <f t="shared" si="8"/>
        <v>3211</v>
      </c>
      <c r="U74" s="65">
        <f t="shared" si="8"/>
        <v>3183</v>
      </c>
      <c r="V74" s="65">
        <f t="shared" si="8"/>
        <v>3155</v>
      </c>
      <c r="W74" s="65">
        <f t="shared" si="8"/>
        <v>3126</v>
      </c>
      <c r="X74" s="65">
        <f t="shared" si="8"/>
        <v>3098</v>
      </c>
      <c r="Y74" s="60">
        <f t="shared" si="9"/>
        <v>3070</v>
      </c>
      <c r="Z74" s="52" t="s">
        <v>292</v>
      </c>
    </row>
    <row r="75" spans="1:26" x14ac:dyDescent="0.35">
      <c r="A75" s="60" t="str">
        <f>VLOOKUP(B75,IKP!$Q$6:$R$124,2,FALSE)</f>
        <v>Pierīgas statistiskais reģions</v>
      </c>
      <c r="B75" s="59" t="s">
        <v>71</v>
      </c>
      <c r="C75" s="65"/>
      <c r="D75" s="65">
        <v>16659</v>
      </c>
      <c r="E75" s="65">
        <v>16948</v>
      </c>
      <c r="F75" s="65">
        <v>17741</v>
      </c>
      <c r="G75" s="65">
        <v>18623</v>
      </c>
      <c r="H75" s="65">
        <v>18521</v>
      </c>
      <c r="I75" s="65">
        <v>19456</v>
      </c>
      <c r="J75" s="65">
        <v>20007</v>
      </c>
      <c r="K75" s="65">
        <v>20741</v>
      </c>
      <c r="L75" s="65">
        <v>21577</v>
      </c>
      <c r="M75" s="67">
        <v>28740</v>
      </c>
      <c r="P75" s="65">
        <f t="shared" si="7"/>
        <v>21577</v>
      </c>
      <c r="Q75" s="65">
        <f t="shared" si="10"/>
        <v>22373</v>
      </c>
      <c r="R75" s="65">
        <f t="shared" si="8"/>
        <v>23169</v>
      </c>
      <c r="S75" s="65">
        <f t="shared" si="8"/>
        <v>23965</v>
      </c>
      <c r="T75" s="65">
        <f t="shared" si="8"/>
        <v>24761</v>
      </c>
      <c r="U75" s="65">
        <f t="shared" si="8"/>
        <v>25556</v>
      </c>
      <c r="V75" s="65">
        <f t="shared" si="8"/>
        <v>26352</v>
      </c>
      <c r="W75" s="65">
        <f t="shared" si="8"/>
        <v>27148</v>
      </c>
      <c r="X75" s="65">
        <f t="shared" si="8"/>
        <v>27944</v>
      </c>
      <c r="Y75" s="60">
        <f t="shared" si="9"/>
        <v>28740</v>
      </c>
      <c r="Z75" s="52" t="s">
        <v>292</v>
      </c>
    </row>
    <row r="76" spans="1:26" x14ac:dyDescent="0.35">
      <c r="A76" s="60" t="str">
        <f>VLOOKUP(B76,IKP!$Q$6:$R$124,2,FALSE)</f>
        <v>Kurzemes statistiskais reģions</v>
      </c>
      <c r="B76" s="59" t="s">
        <v>72</v>
      </c>
      <c r="C76" s="65"/>
      <c r="D76" s="65">
        <v>1606</v>
      </c>
      <c r="E76" s="65">
        <v>1615</v>
      </c>
      <c r="F76" s="65">
        <v>1582</v>
      </c>
      <c r="G76" s="65">
        <v>1554</v>
      </c>
      <c r="H76" s="65">
        <v>1521</v>
      </c>
      <c r="I76" s="65">
        <v>1478</v>
      </c>
      <c r="J76" s="65">
        <v>1439</v>
      </c>
      <c r="K76" s="65">
        <v>1454</v>
      </c>
      <c r="L76" s="65">
        <v>1431</v>
      </c>
      <c r="M76" s="67">
        <v>1222</v>
      </c>
      <c r="P76" s="65">
        <f t="shared" si="7"/>
        <v>1431</v>
      </c>
      <c r="Q76" s="65">
        <f t="shared" si="10"/>
        <v>1408</v>
      </c>
      <c r="R76" s="65">
        <f t="shared" si="8"/>
        <v>1385</v>
      </c>
      <c r="S76" s="65">
        <f t="shared" si="8"/>
        <v>1361</v>
      </c>
      <c r="T76" s="65">
        <f t="shared" si="8"/>
        <v>1338</v>
      </c>
      <c r="U76" s="65">
        <f t="shared" si="8"/>
        <v>1315</v>
      </c>
      <c r="V76" s="65">
        <f t="shared" si="8"/>
        <v>1292</v>
      </c>
      <c r="W76" s="65">
        <f t="shared" si="8"/>
        <v>1268</v>
      </c>
      <c r="X76" s="65">
        <f t="shared" si="8"/>
        <v>1245</v>
      </c>
      <c r="Y76" s="60">
        <f t="shared" si="9"/>
        <v>1222</v>
      </c>
      <c r="Z76" s="52" t="s">
        <v>293</v>
      </c>
    </row>
    <row r="77" spans="1:26" x14ac:dyDescent="0.35">
      <c r="A77" s="60" t="str">
        <f>VLOOKUP(B77,IKP!$Q$6:$R$124,2,FALSE)</f>
        <v>Vidzemes statistiskais reģions</v>
      </c>
      <c r="B77" s="59" t="s">
        <v>73</v>
      </c>
      <c r="C77" s="65"/>
      <c r="D77" s="65">
        <v>1932</v>
      </c>
      <c r="E77" s="65">
        <v>1881</v>
      </c>
      <c r="F77" s="65">
        <v>1847</v>
      </c>
      <c r="G77" s="65">
        <v>1824</v>
      </c>
      <c r="H77" s="65">
        <v>1770</v>
      </c>
      <c r="I77" s="65">
        <v>1731</v>
      </c>
      <c r="J77" s="65">
        <v>1701</v>
      </c>
      <c r="K77" s="65">
        <v>1730</v>
      </c>
      <c r="L77" s="65">
        <v>1689</v>
      </c>
      <c r="M77" s="67">
        <v>1270</v>
      </c>
      <c r="P77" s="65">
        <f t="shared" si="7"/>
        <v>1689</v>
      </c>
      <c r="Q77" s="65">
        <f t="shared" si="10"/>
        <v>1642</v>
      </c>
      <c r="R77" s="65">
        <f t="shared" si="8"/>
        <v>1596</v>
      </c>
      <c r="S77" s="65">
        <f t="shared" si="8"/>
        <v>1549</v>
      </c>
      <c r="T77" s="65">
        <f t="shared" si="8"/>
        <v>1503</v>
      </c>
      <c r="U77" s="65">
        <f t="shared" si="8"/>
        <v>1456</v>
      </c>
      <c r="V77" s="65">
        <f t="shared" si="8"/>
        <v>1410</v>
      </c>
      <c r="W77" s="65">
        <f t="shared" si="8"/>
        <v>1363</v>
      </c>
      <c r="X77" s="65">
        <f t="shared" si="8"/>
        <v>1317</v>
      </c>
      <c r="Y77" s="60">
        <f t="shared" si="9"/>
        <v>1270</v>
      </c>
      <c r="Z77" s="52" t="s">
        <v>294</v>
      </c>
    </row>
    <row r="78" spans="1:26" x14ac:dyDescent="0.35">
      <c r="A78" s="60" t="str">
        <f>VLOOKUP(B78,IKP!$Q$6:$R$124,2,FALSE)</f>
        <v>Zemgales statistiskais reģions</v>
      </c>
      <c r="B78" s="59" t="s">
        <v>74</v>
      </c>
      <c r="C78" s="65"/>
      <c r="D78" s="65">
        <v>3846</v>
      </c>
      <c r="E78" s="65">
        <v>3760</v>
      </c>
      <c r="F78" s="65">
        <v>3706</v>
      </c>
      <c r="G78" s="65">
        <v>3638</v>
      </c>
      <c r="H78" s="65">
        <v>3507</v>
      </c>
      <c r="I78" s="65">
        <v>3442</v>
      </c>
      <c r="J78" s="65">
        <v>3376</v>
      </c>
      <c r="K78" s="65">
        <v>3336</v>
      </c>
      <c r="L78" s="65">
        <v>3278</v>
      </c>
      <c r="M78" s="67">
        <v>2766</v>
      </c>
      <c r="P78" s="65">
        <f t="shared" si="7"/>
        <v>3278</v>
      </c>
      <c r="Q78" s="65">
        <f t="shared" si="10"/>
        <v>3221</v>
      </c>
      <c r="R78" s="65">
        <f t="shared" si="8"/>
        <v>3164</v>
      </c>
      <c r="S78" s="65">
        <f t="shared" si="8"/>
        <v>3107</v>
      </c>
      <c r="T78" s="65">
        <f t="shared" si="8"/>
        <v>3050</v>
      </c>
      <c r="U78" s="65">
        <f t="shared" si="8"/>
        <v>2994</v>
      </c>
      <c r="V78" s="65">
        <f t="shared" si="8"/>
        <v>2937</v>
      </c>
      <c r="W78" s="65">
        <f t="shared" si="8"/>
        <v>2880</v>
      </c>
      <c r="X78" s="65">
        <f t="shared" si="8"/>
        <v>2823</v>
      </c>
      <c r="Y78" s="60">
        <f t="shared" si="9"/>
        <v>2766</v>
      </c>
      <c r="Z78" s="52" t="s">
        <v>295</v>
      </c>
    </row>
    <row r="79" spans="1:26" x14ac:dyDescent="0.35">
      <c r="A79" s="60" t="str">
        <f>VLOOKUP(B79,IKP!$Q$6:$R$124,2,FALSE)</f>
        <v>Kurzemes statistiskais reģions</v>
      </c>
      <c r="B79" s="59" t="s">
        <v>75</v>
      </c>
      <c r="C79" s="65"/>
      <c r="D79" s="65">
        <v>3527</v>
      </c>
      <c r="E79" s="65">
        <v>3482</v>
      </c>
      <c r="F79" s="65">
        <v>3419</v>
      </c>
      <c r="G79" s="65">
        <v>3316</v>
      </c>
      <c r="H79" s="65">
        <v>3278</v>
      </c>
      <c r="I79" s="65">
        <v>3209</v>
      </c>
      <c r="J79" s="65">
        <v>3152</v>
      </c>
      <c r="K79" s="65">
        <v>3112</v>
      </c>
      <c r="L79" s="65">
        <v>3113</v>
      </c>
      <c r="M79" s="67">
        <v>2616</v>
      </c>
      <c r="P79" s="65">
        <f t="shared" si="7"/>
        <v>3113</v>
      </c>
      <c r="Q79" s="65">
        <f t="shared" si="10"/>
        <v>3058</v>
      </c>
      <c r="R79" s="65">
        <f t="shared" si="8"/>
        <v>3003</v>
      </c>
      <c r="S79" s="65">
        <f t="shared" si="8"/>
        <v>2947</v>
      </c>
      <c r="T79" s="65">
        <f t="shared" si="8"/>
        <v>2892</v>
      </c>
      <c r="U79" s="65">
        <f t="shared" si="8"/>
        <v>2837</v>
      </c>
      <c r="V79" s="65">
        <f t="shared" si="8"/>
        <v>2782</v>
      </c>
      <c r="W79" s="65">
        <f t="shared" si="8"/>
        <v>2726</v>
      </c>
      <c r="X79" s="65">
        <f t="shared" si="8"/>
        <v>2671</v>
      </c>
      <c r="Y79" s="60">
        <f t="shared" si="9"/>
        <v>2616</v>
      </c>
      <c r="Z79" s="52" t="s">
        <v>293</v>
      </c>
    </row>
    <row r="80" spans="1:26" x14ac:dyDescent="0.35">
      <c r="A80" s="60" t="str">
        <f>VLOOKUP(B80,IKP!$Q$6:$R$124,2,FALSE)</f>
        <v>Pierīgas statistiskais reģions</v>
      </c>
      <c r="B80" s="59" t="s">
        <v>76</v>
      </c>
      <c r="C80" s="65"/>
      <c r="D80" s="65">
        <v>35531</v>
      </c>
      <c r="E80" s="65">
        <v>34897</v>
      </c>
      <c r="F80" s="65">
        <v>34580</v>
      </c>
      <c r="G80" s="65">
        <v>33980</v>
      </c>
      <c r="H80" s="65">
        <v>33448</v>
      </c>
      <c r="I80" s="65">
        <v>33083</v>
      </c>
      <c r="J80" s="65">
        <v>32997</v>
      </c>
      <c r="K80" s="65">
        <v>32927</v>
      </c>
      <c r="L80" s="65">
        <v>32790</v>
      </c>
      <c r="M80" s="67">
        <v>28423</v>
      </c>
      <c r="P80" s="65">
        <f t="shared" si="7"/>
        <v>32790</v>
      </c>
      <c r="Q80" s="65">
        <f t="shared" si="10"/>
        <v>32305</v>
      </c>
      <c r="R80" s="65">
        <f t="shared" si="8"/>
        <v>31820</v>
      </c>
      <c r="S80" s="65">
        <f t="shared" si="8"/>
        <v>31334</v>
      </c>
      <c r="T80" s="65">
        <f t="shared" si="8"/>
        <v>30849</v>
      </c>
      <c r="U80" s="65">
        <f t="shared" si="8"/>
        <v>30364</v>
      </c>
      <c r="V80" s="65">
        <f t="shared" si="8"/>
        <v>29879</v>
      </c>
      <c r="W80" s="65">
        <f t="shared" si="8"/>
        <v>29393</v>
      </c>
      <c r="X80" s="65">
        <f t="shared" si="8"/>
        <v>28908</v>
      </c>
      <c r="Y80" s="60">
        <f t="shared" si="9"/>
        <v>28423</v>
      </c>
      <c r="Z80" s="52" t="s">
        <v>292</v>
      </c>
    </row>
    <row r="81" spans="1:26" x14ac:dyDescent="0.35">
      <c r="A81" s="60" t="str">
        <f>VLOOKUP(B81,IKP!$Q$6:$R$124,2,FALSE)</f>
        <v>Pierīgas statistiskais reģions</v>
      </c>
      <c r="B81" s="59" t="s">
        <v>77</v>
      </c>
      <c r="C81" s="65"/>
      <c r="D81" s="65">
        <v>19849</v>
      </c>
      <c r="E81" s="65">
        <v>19720</v>
      </c>
      <c r="F81" s="65">
        <v>19718</v>
      </c>
      <c r="G81" s="65">
        <v>19685</v>
      </c>
      <c r="H81" s="65">
        <v>19487</v>
      </c>
      <c r="I81" s="65">
        <v>19409</v>
      </c>
      <c r="J81" s="65">
        <v>19499</v>
      </c>
      <c r="K81" s="65">
        <v>19511</v>
      </c>
      <c r="L81" s="65">
        <v>19705</v>
      </c>
      <c r="M81" s="67">
        <v>17804</v>
      </c>
      <c r="P81" s="65">
        <f t="shared" si="7"/>
        <v>19705</v>
      </c>
      <c r="Q81" s="65">
        <f t="shared" si="10"/>
        <v>19494</v>
      </c>
      <c r="R81" s="65">
        <f t="shared" si="8"/>
        <v>19283</v>
      </c>
      <c r="S81" s="65">
        <f t="shared" si="8"/>
        <v>19071</v>
      </c>
      <c r="T81" s="65">
        <f t="shared" si="8"/>
        <v>18860</v>
      </c>
      <c r="U81" s="65">
        <f t="shared" si="8"/>
        <v>18649</v>
      </c>
      <c r="V81" s="65">
        <f t="shared" si="8"/>
        <v>18438</v>
      </c>
      <c r="W81" s="65">
        <f t="shared" si="8"/>
        <v>18226</v>
      </c>
      <c r="X81" s="65">
        <f t="shared" si="8"/>
        <v>18015</v>
      </c>
      <c r="Y81" s="60">
        <f t="shared" si="9"/>
        <v>17804</v>
      </c>
      <c r="Z81" s="52" t="s">
        <v>292</v>
      </c>
    </row>
    <row r="82" spans="1:26" x14ac:dyDescent="0.35">
      <c r="A82" s="60" t="str">
        <f>VLOOKUP(B82,IKP!$Q$6:$R$124,2,FALSE)</f>
        <v>Zemgales statistiskais reģions</v>
      </c>
      <c r="B82" s="59" t="s">
        <v>78</v>
      </c>
      <c r="C82" s="65"/>
      <c r="D82" s="65">
        <v>9840</v>
      </c>
      <c r="E82" s="65">
        <v>9661</v>
      </c>
      <c r="F82" s="65">
        <v>9634</v>
      </c>
      <c r="G82" s="65">
        <v>9676</v>
      </c>
      <c r="H82" s="65">
        <v>9609</v>
      </c>
      <c r="I82" s="65">
        <v>9864</v>
      </c>
      <c r="J82" s="65">
        <v>9969</v>
      </c>
      <c r="K82" s="65">
        <v>10031</v>
      </c>
      <c r="L82" s="65">
        <v>9948</v>
      </c>
      <c r="M82" s="67">
        <v>10150</v>
      </c>
      <c r="P82" s="65">
        <f t="shared" si="7"/>
        <v>9948</v>
      </c>
      <c r="Q82" s="65">
        <f t="shared" si="10"/>
        <v>9970</v>
      </c>
      <c r="R82" s="65">
        <f t="shared" si="8"/>
        <v>9993</v>
      </c>
      <c r="S82" s="65">
        <f t="shared" si="8"/>
        <v>10015</v>
      </c>
      <c r="T82" s="65">
        <f t="shared" si="8"/>
        <v>10038</v>
      </c>
      <c r="U82" s="65">
        <f t="shared" si="8"/>
        <v>10060</v>
      </c>
      <c r="V82" s="65">
        <f t="shared" si="8"/>
        <v>10083</v>
      </c>
      <c r="W82" s="65">
        <f t="shared" si="8"/>
        <v>10105</v>
      </c>
      <c r="X82" s="65">
        <f t="shared" si="8"/>
        <v>10128</v>
      </c>
      <c r="Y82" s="60">
        <f t="shared" si="9"/>
        <v>10150</v>
      </c>
      <c r="Z82" s="52" t="s">
        <v>295</v>
      </c>
    </row>
    <row r="83" spans="1:26" x14ac:dyDescent="0.35">
      <c r="A83" s="60" t="str">
        <f>VLOOKUP(B83,IKP!$Q$6:$R$124,2,FALSE)</f>
        <v>Vidzemes statistiskais reģions</v>
      </c>
      <c r="B83" s="59" t="s">
        <v>79</v>
      </c>
      <c r="C83" s="65"/>
      <c r="D83" s="65">
        <v>3950</v>
      </c>
      <c r="E83" s="65">
        <v>3938</v>
      </c>
      <c r="F83" s="65">
        <v>3897</v>
      </c>
      <c r="G83" s="65">
        <v>3815</v>
      </c>
      <c r="H83" s="65">
        <v>3728</v>
      </c>
      <c r="I83" s="65">
        <v>3666</v>
      </c>
      <c r="J83" s="65">
        <v>3623</v>
      </c>
      <c r="K83" s="65">
        <v>3638</v>
      </c>
      <c r="L83" s="65">
        <v>3603</v>
      </c>
      <c r="M83" s="67">
        <v>3038</v>
      </c>
      <c r="P83" s="65">
        <f t="shared" si="7"/>
        <v>3603</v>
      </c>
      <c r="Q83" s="65">
        <f t="shared" si="10"/>
        <v>3540</v>
      </c>
      <c r="R83" s="65">
        <f t="shared" si="8"/>
        <v>3477</v>
      </c>
      <c r="S83" s="65">
        <f t="shared" si="8"/>
        <v>3415</v>
      </c>
      <c r="T83" s="65">
        <f t="shared" si="8"/>
        <v>3352</v>
      </c>
      <c r="U83" s="65">
        <f t="shared" si="8"/>
        <v>3289</v>
      </c>
      <c r="V83" s="65">
        <f t="shared" si="8"/>
        <v>3226</v>
      </c>
      <c r="W83" s="65">
        <f t="shared" si="8"/>
        <v>3164</v>
      </c>
      <c r="X83" s="65">
        <f t="shared" si="8"/>
        <v>3101</v>
      </c>
      <c r="Y83" s="60">
        <f t="shared" si="9"/>
        <v>3038</v>
      </c>
      <c r="Z83" s="52" t="s">
        <v>294</v>
      </c>
    </row>
    <row r="84" spans="1:26" x14ac:dyDescent="0.35">
      <c r="A84" s="60" t="str">
        <f>VLOOKUP(B84,IKP!$Q$6:$R$124,2,FALSE)</f>
        <v>Kurzemes statistiskais reģions</v>
      </c>
      <c r="B84" s="59" t="s">
        <v>80</v>
      </c>
      <c r="C84" s="65"/>
      <c r="D84" s="65">
        <v>2819</v>
      </c>
      <c r="E84" s="65">
        <v>2742</v>
      </c>
      <c r="F84" s="65">
        <v>2701</v>
      </c>
      <c r="G84" s="65">
        <v>2658</v>
      </c>
      <c r="H84" s="65">
        <v>2616</v>
      </c>
      <c r="I84" s="65">
        <v>2575</v>
      </c>
      <c r="J84" s="65">
        <v>2532</v>
      </c>
      <c r="K84" s="65">
        <v>2597</v>
      </c>
      <c r="L84" s="65">
        <v>2543</v>
      </c>
      <c r="M84" s="67">
        <v>2137</v>
      </c>
      <c r="P84" s="65">
        <f t="shared" si="7"/>
        <v>2543</v>
      </c>
      <c r="Q84" s="65">
        <f t="shared" si="10"/>
        <v>2498</v>
      </c>
      <c r="R84" s="65">
        <f t="shared" si="8"/>
        <v>2453</v>
      </c>
      <c r="S84" s="65">
        <f t="shared" si="8"/>
        <v>2408</v>
      </c>
      <c r="T84" s="65">
        <f t="shared" si="8"/>
        <v>2363</v>
      </c>
      <c r="U84" s="65">
        <f t="shared" si="8"/>
        <v>2317</v>
      </c>
      <c r="V84" s="65">
        <f t="shared" si="8"/>
        <v>2272</v>
      </c>
      <c r="W84" s="65">
        <f t="shared" si="8"/>
        <v>2227</v>
      </c>
      <c r="X84" s="65">
        <f t="shared" si="8"/>
        <v>2182</v>
      </c>
      <c r="Y84" s="60">
        <f t="shared" si="9"/>
        <v>2137</v>
      </c>
      <c r="Z84" s="52" t="s">
        <v>293</v>
      </c>
    </row>
    <row r="85" spans="1:26" x14ac:dyDescent="0.35">
      <c r="A85" s="60" t="str">
        <f>VLOOKUP(B85,IKP!$Q$6:$R$124,2,FALSE)</f>
        <v>Zemgales statistiskais reģions</v>
      </c>
      <c r="B85" s="59" t="s">
        <v>81</v>
      </c>
      <c r="C85" s="65"/>
      <c r="D85" s="65">
        <v>5560</v>
      </c>
      <c r="E85" s="65">
        <v>5462</v>
      </c>
      <c r="F85" s="65">
        <v>5343</v>
      </c>
      <c r="G85" s="65">
        <v>5286</v>
      </c>
      <c r="H85" s="65">
        <v>5165</v>
      </c>
      <c r="I85" s="65">
        <v>5031</v>
      </c>
      <c r="J85" s="65">
        <v>4904</v>
      </c>
      <c r="K85" s="65">
        <v>4818</v>
      </c>
      <c r="L85" s="65">
        <v>4765</v>
      </c>
      <c r="M85" s="67">
        <v>3972</v>
      </c>
      <c r="P85" s="65">
        <f t="shared" si="7"/>
        <v>4765</v>
      </c>
      <c r="Q85" s="65">
        <f t="shared" si="10"/>
        <v>4677</v>
      </c>
      <c r="R85" s="65">
        <f t="shared" si="8"/>
        <v>4589</v>
      </c>
      <c r="S85" s="65">
        <f t="shared" si="8"/>
        <v>4501</v>
      </c>
      <c r="T85" s="65">
        <f t="shared" si="8"/>
        <v>4413</v>
      </c>
      <c r="U85" s="65">
        <f t="shared" si="8"/>
        <v>4324</v>
      </c>
      <c r="V85" s="65">
        <f t="shared" si="8"/>
        <v>4236</v>
      </c>
      <c r="W85" s="65">
        <f t="shared" si="8"/>
        <v>4148</v>
      </c>
      <c r="X85" s="65">
        <f t="shared" si="8"/>
        <v>4060</v>
      </c>
      <c r="Y85" s="60">
        <f t="shared" si="9"/>
        <v>3972</v>
      </c>
      <c r="Z85" s="52" t="s">
        <v>295</v>
      </c>
    </row>
    <row r="86" spans="1:26" x14ac:dyDescent="0.35">
      <c r="A86" s="60" t="str">
        <f>VLOOKUP(B86,IKP!$Q$6:$R$124,2,FALSE)</f>
        <v>Latgales statistiskais reģions</v>
      </c>
      <c r="B86" s="59" t="s">
        <v>82</v>
      </c>
      <c r="C86" s="65"/>
      <c r="D86" s="65">
        <v>10317</v>
      </c>
      <c r="E86" s="65">
        <v>10083</v>
      </c>
      <c r="F86" s="65">
        <v>9941</v>
      </c>
      <c r="G86" s="65">
        <v>9768</v>
      </c>
      <c r="H86" s="65">
        <v>9561</v>
      </c>
      <c r="I86" s="65">
        <v>9382</v>
      </c>
      <c r="J86" s="65">
        <v>9231</v>
      </c>
      <c r="K86" s="65">
        <v>9045</v>
      </c>
      <c r="L86" s="65">
        <v>8948</v>
      </c>
      <c r="M86" s="67">
        <v>7277</v>
      </c>
      <c r="P86" s="65">
        <f t="shared" si="7"/>
        <v>8948</v>
      </c>
      <c r="Q86" s="65">
        <f t="shared" si="10"/>
        <v>8762</v>
      </c>
      <c r="R86" s="65">
        <f t="shared" si="8"/>
        <v>8577</v>
      </c>
      <c r="S86" s="65">
        <f t="shared" si="8"/>
        <v>8391</v>
      </c>
      <c r="T86" s="65">
        <f t="shared" si="8"/>
        <v>8205</v>
      </c>
      <c r="U86" s="65">
        <f t="shared" si="8"/>
        <v>8020</v>
      </c>
      <c r="V86" s="65">
        <f t="shared" si="8"/>
        <v>7834</v>
      </c>
      <c r="W86" s="65">
        <f t="shared" si="8"/>
        <v>7648</v>
      </c>
      <c r="X86" s="65">
        <f t="shared" si="8"/>
        <v>7463</v>
      </c>
      <c r="Y86" s="60">
        <f t="shared" si="9"/>
        <v>7277</v>
      </c>
      <c r="Z86" s="52" t="s">
        <v>296</v>
      </c>
    </row>
    <row r="87" spans="1:26" x14ac:dyDescent="0.35">
      <c r="A87" s="60" t="str">
        <f>VLOOKUP(B87,IKP!$Q$6:$R$124,2,FALSE)</f>
        <v>Kurzemes statistiskais reģions</v>
      </c>
      <c r="B87" s="59" t="s">
        <v>83</v>
      </c>
      <c r="C87" s="65"/>
      <c r="D87" s="65">
        <v>5747</v>
      </c>
      <c r="E87" s="65">
        <v>5663</v>
      </c>
      <c r="F87" s="65">
        <v>5555</v>
      </c>
      <c r="G87" s="65">
        <v>5399</v>
      </c>
      <c r="H87" s="65">
        <v>5336</v>
      </c>
      <c r="I87" s="65">
        <v>5203</v>
      </c>
      <c r="J87" s="65">
        <v>5067</v>
      </c>
      <c r="K87" s="65">
        <v>5066</v>
      </c>
      <c r="L87" s="65">
        <v>4955</v>
      </c>
      <c r="M87" s="67">
        <v>4170</v>
      </c>
      <c r="P87" s="65">
        <f t="shared" si="7"/>
        <v>4955</v>
      </c>
      <c r="Q87" s="65">
        <f t="shared" si="10"/>
        <v>4868</v>
      </c>
      <c r="R87" s="65">
        <f t="shared" si="8"/>
        <v>4781</v>
      </c>
      <c r="S87" s="65">
        <f t="shared" si="8"/>
        <v>4693</v>
      </c>
      <c r="T87" s="65">
        <f t="shared" si="8"/>
        <v>4606</v>
      </c>
      <c r="U87" s="65">
        <f t="shared" si="8"/>
        <v>4519</v>
      </c>
      <c r="V87" s="65">
        <f t="shared" si="8"/>
        <v>4432</v>
      </c>
      <c r="W87" s="65">
        <f t="shared" si="8"/>
        <v>4344</v>
      </c>
      <c r="X87" s="65">
        <f t="shared" si="8"/>
        <v>4257</v>
      </c>
      <c r="Y87" s="60">
        <f t="shared" si="9"/>
        <v>4170</v>
      </c>
      <c r="Z87" s="52" t="s">
        <v>293</v>
      </c>
    </row>
    <row r="88" spans="1:26" x14ac:dyDescent="0.35">
      <c r="A88" s="60" t="str">
        <f>VLOOKUP(B88,IKP!$Q$6:$R$124,2,FALSE)</f>
        <v>Vidzemes statistiskais reģions</v>
      </c>
      <c r="B88" s="59" t="s">
        <v>84</v>
      </c>
      <c r="C88" s="65"/>
      <c r="D88" s="65">
        <v>8232</v>
      </c>
      <c r="E88" s="65">
        <v>8050</v>
      </c>
      <c r="F88" s="65">
        <v>7951</v>
      </c>
      <c r="G88" s="65">
        <v>7940</v>
      </c>
      <c r="H88" s="65">
        <v>7870</v>
      </c>
      <c r="I88" s="65">
        <v>7719</v>
      </c>
      <c r="J88" s="65">
        <v>7607</v>
      </c>
      <c r="K88" s="65">
        <v>7602</v>
      </c>
      <c r="L88" s="65">
        <v>7509</v>
      </c>
      <c r="M88" s="67">
        <v>6320</v>
      </c>
      <c r="P88" s="65">
        <f t="shared" si="7"/>
        <v>7509</v>
      </c>
      <c r="Q88" s="65">
        <f t="shared" si="10"/>
        <v>7377</v>
      </c>
      <c r="R88" s="65">
        <f t="shared" si="8"/>
        <v>7245</v>
      </c>
      <c r="S88" s="65">
        <f t="shared" si="8"/>
        <v>7113</v>
      </c>
      <c r="T88" s="65">
        <f t="shared" si="8"/>
        <v>6981</v>
      </c>
      <c r="U88" s="65">
        <f t="shared" si="8"/>
        <v>6848</v>
      </c>
      <c r="V88" s="65">
        <f t="shared" si="8"/>
        <v>6716</v>
      </c>
      <c r="W88" s="65">
        <f t="shared" si="8"/>
        <v>6584</v>
      </c>
      <c r="X88" s="65">
        <f t="shared" si="8"/>
        <v>6452</v>
      </c>
      <c r="Y88" s="60">
        <f t="shared" si="9"/>
        <v>6320</v>
      </c>
      <c r="Z88" s="52" t="s">
        <v>294</v>
      </c>
    </row>
    <row r="89" spans="1:26" x14ac:dyDescent="0.35">
      <c r="A89" s="60" t="str">
        <f>VLOOKUP(B89,IKP!$Q$6:$R$124,2,FALSE)</f>
        <v>Vidzemes statistiskais reģions</v>
      </c>
      <c r="B89" s="59" t="s">
        <v>85</v>
      </c>
      <c r="C89" s="65"/>
      <c r="D89" s="65">
        <v>3490</v>
      </c>
      <c r="E89" s="65">
        <v>3412</v>
      </c>
      <c r="F89" s="65">
        <v>3349</v>
      </c>
      <c r="G89" s="65">
        <v>3207</v>
      </c>
      <c r="H89" s="65">
        <v>3125</v>
      </c>
      <c r="I89" s="65">
        <v>3096</v>
      </c>
      <c r="J89" s="65">
        <v>3023</v>
      </c>
      <c r="K89" s="65">
        <v>3038</v>
      </c>
      <c r="L89" s="65">
        <v>3005</v>
      </c>
      <c r="M89" s="67">
        <v>2228</v>
      </c>
      <c r="P89" s="65">
        <f t="shared" si="7"/>
        <v>3005</v>
      </c>
      <c r="Q89" s="65">
        <f t="shared" si="10"/>
        <v>2919</v>
      </c>
      <c r="R89" s="65">
        <f t="shared" si="8"/>
        <v>2832</v>
      </c>
      <c r="S89" s="65">
        <f t="shared" si="8"/>
        <v>2746</v>
      </c>
      <c r="T89" s="65">
        <f t="shared" si="8"/>
        <v>2660</v>
      </c>
      <c r="U89" s="65">
        <f t="shared" si="8"/>
        <v>2573</v>
      </c>
      <c r="V89" s="65">
        <f t="shared" si="8"/>
        <v>2487</v>
      </c>
      <c r="W89" s="65">
        <f t="shared" si="8"/>
        <v>2401</v>
      </c>
      <c r="X89" s="65">
        <f t="shared" si="8"/>
        <v>2314</v>
      </c>
      <c r="Y89" s="60">
        <f t="shared" si="9"/>
        <v>2228</v>
      </c>
      <c r="Z89" s="52" t="s">
        <v>294</v>
      </c>
    </row>
    <row r="90" spans="1:26" x14ac:dyDescent="0.35">
      <c r="A90" s="60" t="str">
        <f>VLOOKUP(B90,IKP!$Q$6:$R$124,2,FALSE)</f>
        <v>Latgales statistiskais reģions</v>
      </c>
      <c r="B90" s="59" t="s">
        <v>86</v>
      </c>
      <c r="C90" s="65"/>
      <c r="D90" s="65">
        <v>27913</v>
      </c>
      <c r="E90" s="65">
        <v>27395</v>
      </c>
      <c r="F90" s="65">
        <v>27162</v>
      </c>
      <c r="G90" s="65">
        <v>26696</v>
      </c>
      <c r="H90" s="65">
        <v>25937</v>
      </c>
      <c r="I90" s="65">
        <v>25274</v>
      </c>
      <c r="J90" s="65">
        <v>24687</v>
      </c>
      <c r="K90" s="65">
        <v>24715</v>
      </c>
      <c r="L90" s="65">
        <v>24244</v>
      </c>
      <c r="M90" s="67">
        <v>20457</v>
      </c>
      <c r="P90" s="65">
        <f t="shared" si="7"/>
        <v>24244</v>
      </c>
      <c r="Q90" s="65">
        <f t="shared" si="10"/>
        <v>23823</v>
      </c>
      <c r="R90" s="65">
        <f t="shared" si="8"/>
        <v>23402</v>
      </c>
      <c r="S90" s="65">
        <f t="shared" si="8"/>
        <v>22982</v>
      </c>
      <c r="T90" s="65">
        <f t="shared" si="8"/>
        <v>22561</v>
      </c>
      <c r="U90" s="65">
        <f t="shared" si="8"/>
        <v>22140</v>
      </c>
      <c r="V90" s="65">
        <f t="shared" si="8"/>
        <v>21719</v>
      </c>
      <c r="W90" s="65">
        <f t="shared" si="8"/>
        <v>21299</v>
      </c>
      <c r="X90" s="65">
        <f t="shared" si="8"/>
        <v>20878</v>
      </c>
      <c r="Y90" s="60">
        <f t="shared" si="9"/>
        <v>20457</v>
      </c>
      <c r="Z90" s="52" t="s">
        <v>296</v>
      </c>
    </row>
    <row r="91" spans="1:26" x14ac:dyDescent="0.35">
      <c r="A91" s="60" t="str">
        <f>VLOOKUP(B91,IKP!$Q$6:$R$124,2,FALSE)</f>
        <v>Latgales statistiskais reģions</v>
      </c>
      <c r="B91" s="59" t="s">
        <v>87</v>
      </c>
      <c r="C91" s="65"/>
      <c r="D91" s="65">
        <v>5383</v>
      </c>
      <c r="E91" s="65">
        <v>5270</v>
      </c>
      <c r="F91" s="65">
        <v>5180</v>
      </c>
      <c r="G91" s="65">
        <v>5077</v>
      </c>
      <c r="H91" s="65">
        <v>4911</v>
      </c>
      <c r="I91" s="65">
        <v>4779</v>
      </c>
      <c r="J91" s="65">
        <v>4625</v>
      </c>
      <c r="K91" s="65">
        <v>4614</v>
      </c>
      <c r="L91" s="65">
        <v>4466</v>
      </c>
      <c r="M91" s="67">
        <v>3606</v>
      </c>
      <c r="P91" s="65">
        <f t="shared" si="7"/>
        <v>4466</v>
      </c>
      <c r="Q91" s="65">
        <f t="shared" si="10"/>
        <v>4370</v>
      </c>
      <c r="R91" s="65">
        <f t="shared" si="8"/>
        <v>4275</v>
      </c>
      <c r="S91" s="65">
        <f t="shared" si="8"/>
        <v>4179</v>
      </c>
      <c r="T91" s="65">
        <f t="shared" si="8"/>
        <v>4084</v>
      </c>
      <c r="U91" s="65">
        <f t="shared" si="8"/>
        <v>3988</v>
      </c>
      <c r="V91" s="65">
        <f t="shared" si="8"/>
        <v>3893</v>
      </c>
      <c r="W91" s="65">
        <f t="shared" si="8"/>
        <v>3797</v>
      </c>
      <c r="X91" s="65">
        <f t="shared" si="8"/>
        <v>3702</v>
      </c>
      <c r="Y91" s="60">
        <f t="shared" si="9"/>
        <v>3606</v>
      </c>
      <c r="Z91" s="52" t="s">
        <v>296</v>
      </c>
    </row>
    <row r="92" spans="1:26" x14ac:dyDescent="0.35">
      <c r="A92" s="60" t="str">
        <f>VLOOKUP(B92,IKP!$Q$6:$R$124,2,FALSE)</f>
        <v>Kurzemes statistiskais reģions</v>
      </c>
      <c r="B92" s="59" t="s">
        <v>88</v>
      </c>
      <c r="C92" s="65"/>
      <c r="D92" s="65">
        <v>3933</v>
      </c>
      <c r="E92" s="65">
        <v>3851</v>
      </c>
      <c r="F92" s="65">
        <v>3799</v>
      </c>
      <c r="G92" s="65">
        <v>3750</v>
      </c>
      <c r="H92" s="65">
        <v>3638</v>
      </c>
      <c r="I92" s="65">
        <v>3527</v>
      </c>
      <c r="J92" s="65">
        <v>3427</v>
      </c>
      <c r="K92" s="65">
        <v>3436</v>
      </c>
      <c r="L92" s="65">
        <v>3390</v>
      </c>
      <c r="M92" s="67">
        <v>2831</v>
      </c>
      <c r="P92" s="65">
        <f t="shared" si="7"/>
        <v>3390</v>
      </c>
      <c r="Q92" s="65">
        <f t="shared" si="10"/>
        <v>3328</v>
      </c>
      <c r="R92" s="65">
        <f t="shared" si="8"/>
        <v>3266</v>
      </c>
      <c r="S92" s="65">
        <f t="shared" si="8"/>
        <v>3204</v>
      </c>
      <c r="T92" s="65">
        <f t="shared" si="8"/>
        <v>3142</v>
      </c>
      <c r="U92" s="65">
        <f t="shared" si="8"/>
        <v>3079</v>
      </c>
      <c r="V92" s="65">
        <f t="shared" si="8"/>
        <v>3017</v>
      </c>
      <c r="W92" s="65">
        <f t="shared" si="8"/>
        <v>2955</v>
      </c>
      <c r="X92" s="65">
        <f t="shared" si="8"/>
        <v>2893</v>
      </c>
      <c r="Y92" s="60">
        <f t="shared" si="9"/>
        <v>2831</v>
      </c>
      <c r="Z92" s="52" t="s">
        <v>293</v>
      </c>
    </row>
    <row r="93" spans="1:26" x14ac:dyDescent="0.35">
      <c r="A93" s="60" t="str">
        <f>VLOOKUP(B93,IKP!$Q$6:$R$124,2,FALSE)</f>
        <v>Pierīgas statistiskais reģions</v>
      </c>
      <c r="B93" s="59" t="s">
        <v>89</v>
      </c>
      <c r="C93" s="65"/>
      <c r="D93" s="65">
        <v>6858</v>
      </c>
      <c r="E93" s="65">
        <v>6748</v>
      </c>
      <c r="F93" s="65">
        <v>6700</v>
      </c>
      <c r="G93" s="65">
        <v>6631</v>
      </c>
      <c r="H93" s="65">
        <v>6641</v>
      </c>
      <c r="I93" s="65">
        <v>6800</v>
      </c>
      <c r="J93" s="65">
        <v>6834</v>
      </c>
      <c r="K93" s="65">
        <v>6803</v>
      </c>
      <c r="L93" s="65">
        <v>6836</v>
      </c>
      <c r="M93" s="67">
        <v>6924</v>
      </c>
      <c r="P93" s="65">
        <f t="shared" si="7"/>
        <v>6836</v>
      </c>
      <c r="Q93" s="65">
        <f t="shared" si="10"/>
        <v>6846</v>
      </c>
      <c r="R93" s="65">
        <f t="shared" si="8"/>
        <v>6856</v>
      </c>
      <c r="S93" s="65">
        <f t="shared" si="8"/>
        <v>6865</v>
      </c>
      <c r="T93" s="65">
        <f t="shared" si="8"/>
        <v>6875</v>
      </c>
      <c r="U93" s="65">
        <f t="shared" si="8"/>
        <v>6885</v>
      </c>
      <c r="V93" s="65">
        <f t="shared" si="8"/>
        <v>6895</v>
      </c>
      <c r="W93" s="65">
        <f t="shared" si="8"/>
        <v>6904</v>
      </c>
      <c r="X93" s="65">
        <f t="shared" si="8"/>
        <v>6914</v>
      </c>
      <c r="Y93" s="60">
        <f t="shared" si="9"/>
        <v>6924</v>
      </c>
      <c r="Z93" s="52" t="s">
        <v>292</v>
      </c>
    </row>
    <row r="94" spans="1:26" x14ac:dyDescent="0.35">
      <c r="A94" s="60" t="str">
        <f>VLOOKUP(B94,IKP!$Q$6:$R$124,2,FALSE)</f>
        <v>Kurzemes statistiskais reģions</v>
      </c>
      <c r="B94" s="59" t="s">
        <v>90</v>
      </c>
      <c r="C94" s="65"/>
      <c r="D94" s="65">
        <v>1728</v>
      </c>
      <c r="E94" s="65">
        <v>1711</v>
      </c>
      <c r="F94" s="65">
        <v>1681</v>
      </c>
      <c r="G94" s="65">
        <v>1650</v>
      </c>
      <c r="H94" s="65">
        <v>1626</v>
      </c>
      <c r="I94" s="65">
        <v>1538</v>
      </c>
      <c r="J94" s="65">
        <v>1478</v>
      </c>
      <c r="K94" s="65">
        <v>1503</v>
      </c>
      <c r="L94" s="65">
        <v>1505</v>
      </c>
      <c r="M94" s="67">
        <v>1127</v>
      </c>
      <c r="P94" s="65">
        <f t="shared" si="7"/>
        <v>1505</v>
      </c>
      <c r="Q94" s="65">
        <f t="shared" si="10"/>
        <v>1463</v>
      </c>
      <c r="R94" s="65">
        <f t="shared" si="8"/>
        <v>1421</v>
      </c>
      <c r="S94" s="65">
        <f t="shared" si="8"/>
        <v>1379</v>
      </c>
      <c r="T94" s="65">
        <f t="shared" si="8"/>
        <v>1337</v>
      </c>
      <c r="U94" s="65">
        <f t="shared" si="8"/>
        <v>1295</v>
      </c>
      <c r="V94" s="65">
        <f t="shared" si="8"/>
        <v>1253</v>
      </c>
      <c r="W94" s="65">
        <f t="shared" si="8"/>
        <v>1211</v>
      </c>
      <c r="X94" s="65">
        <f t="shared" si="8"/>
        <v>1169</v>
      </c>
      <c r="Y94" s="60">
        <f t="shared" si="9"/>
        <v>1127</v>
      </c>
      <c r="Z94" s="52" t="s">
        <v>293</v>
      </c>
    </row>
    <row r="95" spans="1:26" x14ac:dyDescent="0.35">
      <c r="A95" s="60" t="str">
        <f>VLOOKUP(B95,IKP!$Q$6:$R$124,2,FALSE)</f>
        <v>Latgales statistiskais reģions</v>
      </c>
      <c r="B95" s="59" t="s">
        <v>91</v>
      </c>
      <c r="C95" s="65"/>
      <c r="D95" s="65">
        <v>2365</v>
      </c>
      <c r="E95" s="65">
        <v>2311</v>
      </c>
      <c r="F95" s="65">
        <v>2266</v>
      </c>
      <c r="G95" s="65">
        <v>2293</v>
      </c>
      <c r="H95" s="65">
        <v>2212</v>
      </c>
      <c r="I95" s="65">
        <v>2160</v>
      </c>
      <c r="J95" s="65">
        <v>2108</v>
      </c>
      <c r="K95" s="65">
        <v>2088</v>
      </c>
      <c r="L95" s="65">
        <v>2026</v>
      </c>
      <c r="M95" s="67">
        <v>1818</v>
      </c>
      <c r="P95" s="65">
        <f t="shared" si="7"/>
        <v>2026</v>
      </c>
      <c r="Q95" s="65">
        <f t="shared" si="10"/>
        <v>2003</v>
      </c>
      <c r="R95" s="65">
        <f t="shared" si="8"/>
        <v>1980</v>
      </c>
      <c r="S95" s="65">
        <f t="shared" si="8"/>
        <v>1957</v>
      </c>
      <c r="T95" s="65">
        <f t="shared" si="8"/>
        <v>1934</v>
      </c>
      <c r="U95" s="65">
        <f t="shared" si="8"/>
        <v>1910</v>
      </c>
      <c r="V95" s="65">
        <f t="shared" si="8"/>
        <v>1887</v>
      </c>
      <c r="W95" s="65">
        <f t="shared" si="8"/>
        <v>1864</v>
      </c>
      <c r="X95" s="65">
        <f t="shared" si="8"/>
        <v>1841</v>
      </c>
      <c r="Y95" s="60">
        <f t="shared" si="9"/>
        <v>1818</v>
      </c>
      <c r="Z95" s="52" t="s">
        <v>296</v>
      </c>
    </row>
    <row r="96" spans="1:26" x14ac:dyDescent="0.35">
      <c r="A96" s="60" t="str">
        <f>VLOOKUP(B96,IKP!$Q$6:$R$124,2,FALSE)</f>
        <v>Zemgales statistiskais reģions</v>
      </c>
      <c r="B96" s="59" t="s">
        <v>92</v>
      </c>
      <c r="C96" s="65"/>
      <c r="D96" s="65">
        <v>3671</v>
      </c>
      <c r="E96" s="65">
        <v>3617</v>
      </c>
      <c r="F96" s="65">
        <v>3531</v>
      </c>
      <c r="G96" s="65">
        <v>3473</v>
      </c>
      <c r="H96" s="65">
        <v>3421</v>
      </c>
      <c r="I96" s="65">
        <v>3407</v>
      </c>
      <c r="J96" s="65">
        <v>3356</v>
      </c>
      <c r="K96" s="65">
        <v>3367</v>
      </c>
      <c r="L96" s="65">
        <v>3290</v>
      </c>
      <c r="M96" s="67">
        <v>2917</v>
      </c>
      <c r="P96" s="65">
        <f t="shared" si="7"/>
        <v>3290</v>
      </c>
      <c r="Q96" s="65">
        <f t="shared" si="10"/>
        <v>3249</v>
      </c>
      <c r="R96" s="65">
        <f t="shared" si="8"/>
        <v>3207</v>
      </c>
      <c r="S96" s="65">
        <f t="shared" si="8"/>
        <v>3166</v>
      </c>
      <c r="T96" s="65">
        <f t="shared" si="8"/>
        <v>3124</v>
      </c>
      <c r="U96" s="65">
        <f t="shared" si="8"/>
        <v>3083</v>
      </c>
      <c r="V96" s="65">
        <f t="shared" si="8"/>
        <v>3041</v>
      </c>
      <c r="W96" s="65">
        <f t="shared" si="8"/>
        <v>3000</v>
      </c>
      <c r="X96" s="65">
        <f t="shared" si="8"/>
        <v>2958</v>
      </c>
      <c r="Y96" s="60">
        <f t="shared" si="9"/>
        <v>2917</v>
      </c>
      <c r="Z96" s="52" t="s">
        <v>295</v>
      </c>
    </row>
    <row r="97" spans="1:26" x14ac:dyDescent="0.35">
      <c r="A97" s="60" t="str">
        <f>VLOOKUP(B97,IKP!$Q$6:$R$124,2,FALSE)</f>
        <v>Vidzemes statistiskais reģions</v>
      </c>
      <c r="B97" s="59" t="s">
        <v>93</v>
      </c>
      <c r="C97" s="65"/>
      <c r="D97" s="65">
        <v>5452</v>
      </c>
      <c r="E97" s="65">
        <v>5321</v>
      </c>
      <c r="F97" s="65">
        <v>5219</v>
      </c>
      <c r="G97" s="65">
        <v>5156</v>
      </c>
      <c r="H97" s="65">
        <v>5056</v>
      </c>
      <c r="I97" s="65">
        <v>4992</v>
      </c>
      <c r="J97" s="65">
        <v>4917</v>
      </c>
      <c r="K97" s="65">
        <v>4913</v>
      </c>
      <c r="L97" s="65">
        <v>4817</v>
      </c>
      <c r="M97" s="67">
        <v>3865</v>
      </c>
      <c r="P97" s="65">
        <f t="shared" si="7"/>
        <v>4817</v>
      </c>
      <c r="Q97" s="65">
        <f t="shared" si="10"/>
        <v>4711</v>
      </c>
      <c r="R97" s="65">
        <f t="shared" si="8"/>
        <v>4605</v>
      </c>
      <c r="S97" s="65">
        <f t="shared" si="8"/>
        <v>4500</v>
      </c>
      <c r="T97" s="65">
        <f t="shared" si="8"/>
        <v>4394</v>
      </c>
      <c r="U97" s="65">
        <f t="shared" si="8"/>
        <v>4288</v>
      </c>
      <c r="V97" s="65">
        <f t="shared" si="8"/>
        <v>4182</v>
      </c>
      <c r="W97" s="65">
        <f t="shared" si="8"/>
        <v>4077</v>
      </c>
      <c r="X97" s="65">
        <f t="shared" si="8"/>
        <v>3971</v>
      </c>
      <c r="Y97" s="60">
        <f t="shared" si="9"/>
        <v>3865</v>
      </c>
      <c r="Z97" s="52" t="s">
        <v>294</v>
      </c>
    </row>
    <row r="98" spans="1:26" x14ac:dyDescent="0.35">
      <c r="A98" s="60" t="str">
        <f>VLOOKUP(B98,IKP!$Q$6:$R$124,2,FALSE)</f>
        <v>Pierīgas statistiskais reģions</v>
      </c>
      <c r="B98" s="59" t="s">
        <v>94</v>
      </c>
      <c r="C98" s="65"/>
      <c r="D98" s="65">
        <v>8182</v>
      </c>
      <c r="E98" s="65">
        <v>8027</v>
      </c>
      <c r="F98" s="65">
        <v>7959</v>
      </c>
      <c r="G98" s="65">
        <v>7825</v>
      </c>
      <c r="H98" s="65">
        <v>7574</v>
      </c>
      <c r="I98" s="65">
        <v>7423</v>
      </c>
      <c r="J98" s="65">
        <v>7228</v>
      </c>
      <c r="K98" s="65">
        <v>7317</v>
      </c>
      <c r="L98" s="65">
        <v>7282</v>
      </c>
      <c r="M98" s="67">
        <v>6066</v>
      </c>
      <c r="P98" s="65">
        <f t="shared" si="7"/>
        <v>7282</v>
      </c>
      <c r="Q98" s="65">
        <f t="shared" si="10"/>
        <v>7147</v>
      </c>
      <c r="R98" s="65">
        <f t="shared" si="8"/>
        <v>7012</v>
      </c>
      <c r="S98" s="65">
        <f t="shared" si="8"/>
        <v>6877</v>
      </c>
      <c r="T98" s="65">
        <f t="shared" si="8"/>
        <v>6742</v>
      </c>
      <c r="U98" s="65">
        <f t="shared" si="8"/>
        <v>6606</v>
      </c>
      <c r="V98" s="65">
        <f t="shared" si="8"/>
        <v>6471</v>
      </c>
      <c r="W98" s="65">
        <f t="shared" si="8"/>
        <v>6336</v>
      </c>
      <c r="X98" s="65">
        <f t="shared" si="8"/>
        <v>6201</v>
      </c>
      <c r="Y98" s="60">
        <f t="shared" si="9"/>
        <v>6066</v>
      </c>
      <c r="Z98" s="52" t="s">
        <v>292</v>
      </c>
    </row>
    <row r="99" spans="1:26" x14ac:dyDescent="0.35">
      <c r="A99" s="60" t="str">
        <f>VLOOKUP(B99,IKP!$Q$6:$R$124,2,FALSE)</f>
        <v>Zemgales statistiskais reģions</v>
      </c>
      <c r="B99" s="59" t="s">
        <v>95</v>
      </c>
      <c r="C99" s="65"/>
      <c r="D99" s="65">
        <v>3793</v>
      </c>
      <c r="E99" s="65">
        <v>3725</v>
      </c>
      <c r="F99" s="65">
        <v>3646</v>
      </c>
      <c r="G99" s="65">
        <v>3593</v>
      </c>
      <c r="H99" s="65">
        <v>3496</v>
      </c>
      <c r="I99" s="65">
        <v>3403</v>
      </c>
      <c r="J99" s="65">
        <v>3332</v>
      </c>
      <c r="K99" s="65">
        <v>3296</v>
      </c>
      <c r="L99" s="65">
        <v>3241</v>
      </c>
      <c r="M99" s="67">
        <v>2777</v>
      </c>
      <c r="P99" s="65">
        <f t="shared" si="7"/>
        <v>3241</v>
      </c>
      <c r="Q99" s="65">
        <f t="shared" si="10"/>
        <v>3189</v>
      </c>
      <c r="R99" s="65">
        <f t="shared" si="8"/>
        <v>3138</v>
      </c>
      <c r="S99" s="65">
        <f t="shared" si="8"/>
        <v>3086</v>
      </c>
      <c r="T99" s="65">
        <f t="shared" si="8"/>
        <v>3035</v>
      </c>
      <c r="U99" s="65">
        <f t="shared" si="8"/>
        <v>2983</v>
      </c>
      <c r="V99" s="65">
        <f t="shared" si="8"/>
        <v>2932</v>
      </c>
      <c r="W99" s="65">
        <f t="shared" si="8"/>
        <v>2880</v>
      </c>
      <c r="X99" s="65">
        <f t="shared" si="8"/>
        <v>2829</v>
      </c>
      <c r="Y99" s="60">
        <f t="shared" si="9"/>
        <v>2777</v>
      </c>
      <c r="Z99" s="52" t="s">
        <v>295</v>
      </c>
    </row>
    <row r="100" spans="1:26" x14ac:dyDescent="0.35">
      <c r="A100" s="60" t="str">
        <f>VLOOKUP(B100,IKP!$Q$6:$R$124,2,FALSE)</f>
        <v>Pierīgas statistiskais reģions</v>
      </c>
      <c r="B100" s="59" t="s">
        <v>96</v>
      </c>
      <c r="C100" s="65"/>
      <c r="D100" s="65">
        <v>22314</v>
      </c>
      <c r="E100" s="65">
        <v>22088</v>
      </c>
      <c r="F100" s="65">
        <v>22208</v>
      </c>
      <c r="G100" s="65">
        <v>22209</v>
      </c>
      <c r="H100" s="65">
        <v>22291</v>
      </c>
      <c r="I100" s="65">
        <v>22555</v>
      </c>
      <c r="J100" s="65">
        <v>22659</v>
      </c>
      <c r="K100" s="65">
        <v>22738</v>
      </c>
      <c r="L100" s="65">
        <v>22868</v>
      </c>
      <c r="M100" s="67">
        <v>24205</v>
      </c>
      <c r="P100" s="65">
        <f t="shared" si="7"/>
        <v>22868</v>
      </c>
      <c r="Q100" s="65">
        <f t="shared" si="10"/>
        <v>23017</v>
      </c>
      <c r="R100" s="65">
        <f t="shared" si="8"/>
        <v>23165</v>
      </c>
      <c r="S100" s="65">
        <f t="shared" si="8"/>
        <v>23314</v>
      </c>
      <c r="T100" s="65">
        <f t="shared" si="8"/>
        <v>23462</v>
      </c>
      <c r="U100" s="65">
        <f t="shared" si="8"/>
        <v>23611</v>
      </c>
      <c r="V100" s="65">
        <f t="shared" si="8"/>
        <v>23759</v>
      </c>
      <c r="W100" s="65">
        <f t="shared" si="8"/>
        <v>23908</v>
      </c>
      <c r="X100" s="65">
        <f t="shared" si="8"/>
        <v>24056</v>
      </c>
      <c r="Y100" s="60">
        <f t="shared" si="9"/>
        <v>24205</v>
      </c>
      <c r="Z100" s="52" t="s">
        <v>292</v>
      </c>
    </row>
    <row r="101" spans="1:26" x14ac:dyDescent="0.35">
      <c r="A101" s="60" t="str">
        <f>VLOOKUP(B101,IKP!$Q$6:$R$124,2,FALSE)</f>
        <v>Kurzemes statistiskais reģions</v>
      </c>
      <c r="B101" s="59" t="s">
        <v>97</v>
      </c>
      <c r="C101" s="65"/>
      <c r="D101" s="65">
        <v>24909</v>
      </c>
      <c r="E101" s="65">
        <v>24494</v>
      </c>
      <c r="F101" s="65">
        <v>24087</v>
      </c>
      <c r="G101" s="65">
        <v>23661</v>
      </c>
      <c r="H101" s="65">
        <v>23005</v>
      </c>
      <c r="I101" s="65">
        <v>22422</v>
      </c>
      <c r="J101" s="65">
        <v>22006</v>
      </c>
      <c r="K101" s="65">
        <v>21778</v>
      </c>
      <c r="L101" s="65">
        <v>21438</v>
      </c>
      <c r="M101" s="67">
        <v>17459</v>
      </c>
      <c r="P101" s="65">
        <f t="shared" si="7"/>
        <v>21438</v>
      </c>
      <c r="Q101" s="65">
        <f t="shared" si="10"/>
        <v>20996</v>
      </c>
      <c r="R101" s="65">
        <f t="shared" si="8"/>
        <v>20554</v>
      </c>
      <c r="S101" s="65">
        <f t="shared" si="8"/>
        <v>20112</v>
      </c>
      <c r="T101" s="65">
        <f t="shared" si="8"/>
        <v>19670</v>
      </c>
      <c r="U101" s="65">
        <f t="shared" si="8"/>
        <v>19227</v>
      </c>
      <c r="V101" s="65">
        <f t="shared" si="8"/>
        <v>18785</v>
      </c>
      <c r="W101" s="65">
        <f t="shared" si="8"/>
        <v>18343</v>
      </c>
      <c r="X101" s="65">
        <f t="shared" si="8"/>
        <v>17901</v>
      </c>
      <c r="Y101" s="60">
        <f t="shared" si="9"/>
        <v>17459</v>
      </c>
      <c r="Z101" s="52" t="s">
        <v>293</v>
      </c>
    </row>
    <row r="102" spans="1:26" x14ac:dyDescent="0.35">
      <c r="A102" s="60" t="str">
        <f>VLOOKUP(B102,IKP!$Q$6:$R$124,2,FALSE)</f>
        <v>Pierīgas statistiskais reģions</v>
      </c>
      <c r="B102" s="59" t="s">
        <v>98</v>
      </c>
      <c r="C102" s="65"/>
      <c r="D102" s="65">
        <v>5855</v>
      </c>
      <c r="E102" s="65">
        <v>5773</v>
      </c>
      <c r="F102" s="65">
        <v>5750</v>
      </c>
      <c r="G102" s="65">
        <v>5690</v>
      </c>
      <c r="H102" s="65">
        <v>5594</v>
      </c>
      <c r="I102" s="65">
        <v>5751</v>
      </c>
      <c r="J102" s="65">
        <v>6532</v>
      </c>
      <c r="K102" s="65">
        <v>6871</v>
      </c>
      <c r="L102" s="65">
        <v>7079</v>
      </c>
      <c r="M102" s="67">
        <v>5926</v>
      </c>
      <c r="P102" s="65">
        <f t="shared" si="7"/>
        <v>7079</v>
      </c>
      <c r="Q102" s="65">
        <f t="shared" si="10"/>
        <v>6951</v>
      </c>
      <c r="R102" s="65">
        <f t="shared" si="8"/>
        <v>6823</v>
      </c>
      <c r="S102" s="65">
        <f t="shared" si="8"/>
        <v>6695</v>
      </c>
      <c r="T102" s="65">
        <f t="shared" si="8"/>
        <v>6567</v>
      </c>
      <c r="U102" s="65">
        <f t="shared" si="8"/>
        <v>6438</v>
      </c>
      <c r="V102" s="65">
        <f t="shared" si="8"/>
        <v>6310</v>
      </c>
      <c r="W102" s="65">
        <f t="shared" si="8"/>
        <v>6182</v>
      </c>
      <c r="X102" s="65">
        <f t="shared" si="8"/>
        <v>6054</v>
      </c>
      <c r="Y102" s="60">
        <f t="shared" si="9"/>
        <v>5926</v>
      </c>
      <c r="Z102" s="52" t="s">
        <v>292</v>
      </c>
    </row>
    <row r="103" spans="1:26" x14ac:dyDescent="0.35">
      <c r="A103" s="60" t="str">
        <f>VLOOKUP(B103,IKP!$Q$6:$R$124,2,FALSE)</f>
        <v>Pierīgas statistiskais reģions</v>
      </c>
      <c r="B103" s="59" t="s">
        <v>99</v>
      </c>
      <c r="C103" s="65"/>
      <c r="D103" s="65">
        <v>2246</v>
      </c>
      <c r="E103" s="65">
        <v>2223</v>
      </c>
      <c r="F103" s="65">
        <v>2229</v>
      </c>
      <c r="G103" s="65">
        <v>2242</v>
      </c>
      <c r="H103" s="65">
        <v>2185</v>
      </c>
      <c r="I103" s="65">
        <v>2185</v>
      </c>
      <c r="J103" s="65">
        <v>2128</v>
      </c>
      <c r="K103" s="65">
        <v>2163</v>
      </c>
      <c r="L103" s="65">
        <v>2151</v>
      </c>
      <c r="M103" s="67">
        <v>2011</v>
      </c>
      <c r="P103" s="65">
        <f t="shared" si="7"/>
        <v>2151</v>
      </c>
      <c r="Q103" s="65">
        <f t="shared" si="10"/>
        <v>2135</v>
      </c>
      <c r="R103" s="65">
        <f t="shared" si="8"/>
        <v>2120</v>
      </c>
      <c r="S103" s="65">
        <f t="shared" si="8"/>
        <v>2104</v>
      </c>
      <c r="T103" s="65">
        <f t="shared" si="8"/>
        <v>2089</v>
      </c>
      <c r="U103" s="65">
        <f t="shared" si="8"/>
        <v>2073</v>
      </c>
      <c r="V103" s="65">
        <f t="shared" si="8"/>
        <v>2058</v>
      </c>
      <c r="W103" s="65">
        <f t="shared" si="8"/>
        <v>2042</v>
      </c>
      <c r="X103" s="65">
        <f t="shared" si="8"/>
        <v>2027</v>
      </c>
      <c r="Y103" s="60">
        <f t="shared" si="9"/>
        <v>2011</v>
      </c>
      <c r="Z103" s="52" t="s">
        <v>292</v>
      </c>
    </row>
    <row r="104" spans="1:26" x14ac:dyDescent="0.35">
      <c r="A104" s="60" t="str">
        <f>VLOOKUP(B104,IKP!$Q$6:$R$124,2,FALSE)</f>
        <v>Pierīgas statistiskais reģions</v>
      </c>
      <c r="B104" s="59" t="s">
        <v>100</v>
      </c>
      <c r="C104" s="65"/>
      <c r="D104" s="65">
        <v>17055</v>
      </c>
      <c r="E104" s="65">
        <v>17117</v>
      </c>
      <c r="F104" s="65">
        <v>17322</v>
      </c>
      <c r="G104" s="65">
        <v>17337</v>
      </c>
      <c r="H104" s="65">
        <v>17258</v>
      </c>
      <c r="I104" s="65">
        <v>17337</v>
      </c>
      <c r="J104" s="65">
        <v>17761</v>
      </c>
      <c r="K104" s="65">
        <v>18054</v>
      </c>
      <c r="L104" s="65">
        <v>18081</v>
      </c>
      <c r="M104" s="67">
        <v>18259</v>
      </c>
      <c r="P104" s="65">
        <f t="shared" si="7"/>
        <v>18081</v>
      </c>
      <c r="Q104" s="65">
        <f t="shared" si="10"/>
        <v>18101</v>
      </c>
      <c r="R104" s="65">
        <f t="shared" si="8"/>
        <v>18121</v>
      </c>
      <c r="S104" s="65">
        <f t="shared" si="8"/>
        <v>18140</v>
      </c>
      <c r="T104" s="65">
        <f t="shared" si="8"/>
        <v>18160</v>
      </c>
      <c r="U104" s="65">
        <f t="shared" si="8"/>
        <v>18180</v>
      </c>
      <c r="V104" s="65">
        <f t="shared" si="8"/>
        <v>18200</v>
      </c>
      <c r="W104" s="65">
        <f t="shared" si="8"/>
        <v>18219</v>
      </c>
      <c r="X104" s="65">
        <f t="shared" si="8"/>
        <v>18239</v>
      </c>
      <c r="Y104" s="60">
        <f t="shared" si="9"/>
        <v>18259</v>
      </c>
      <c r="Z104" s="52" t="s">
        <v>292</v>
      </c>
    </row>
    <row r="105" spans="1:26" x14ac:dyDescent="0.35">
      <c r="A105" s="60" t="str">
        <f>VLOOKUP(B105,IKP!$Q$6:$R$124,2,FALSE)</f>
        <v>Zemgales statistiskais reģions</v>
      </c>
      <c r="B105" s="59" t="s">
        <v>101</v>
      </c>
      <c r="C105" s="65"/>
      <c r="D105" s="65">
        <v>3625</v>
      </c>
      <c r="E105" s="65">
        <v>3554</v>
      </c>
      <c r="F105" s="65">
        <v>3508</v>
      </c>
      <c r="G105" s="65">
        <v>3474</v>
      </c>
      <c r="H105" s="65">
        <v>3413</v>
      </c>
      <c r="I105" s="65">
        <v>3366</v>
      </c>
      <c r="J105" s="65">
        <v>3339</v>
      </c>
      <c r="K105" s="65">
        <v>3413</v>
      </c>
      <c r="L105" s="65">
        <v>3417</v>
      </c>
      <c r="M105" s="67">
        <v>2822</v>
      </c>
      <c r="P105" s="65">
        <f t="shared" si="7"/>
        <v>3417</v>
      </c>
      <c r="Q105" s="65">
        <f t="shared" si="10"/>
        <v>3351</v>
      </c>
      <c r="R105" s="65">
        <f t="shared" si="8"/>
        <v>3285</v>
      </c>
      <c r="S105" s="65">
        <f t="shared" si="8"/>
        <v>3219</v>
      </c>
      <c r="T105" s="65">
        <f t="shared" si="8"/>
        <v>3153</v>
      </c>
      <c r="U105" s="65">
        <f t="shared" si="8"/>
        <v>3086</v>
      </c>
      <c r="V105" s="65">
        <f t="shared" si="8"/>
        <v>3020</v>
      </c>
      <c r="W105" s="65">
        <f t="shared" si="8"/>
        <v>2954</v>
      </c>
      <c r="X105" s="65">
        <f t="shared" si="8"/>
        <v>2888</v>
      </c>
      <c r="Y105" s="60">
        <f t="shared" si="9"/>
        <v>2822</v>
      </c>
      <c r="Z105" s="52" t="s">
        <v>295</v>
      </c>
    </row>
    <row r="106" spans="1:26" x14ac:dyDescent="0.35">
      <c r="A106" s="60" t="str">
        <f>VLOOKUP(B106,IKP!$Q$6:$R$124,2,FALSE)</f>
        <v>Kurzemes statistiskais reģions</v>
      </c>
      <c r="B106" s="59" t="s">
        <v>102</v>
      </c>
      <c r="C106" s="65"/>
      <c r="D106" s="65">
        <v>5248</v>
      </c>
      <c r="E106" s="65">
        <v>5142</v>
      </c>
      <c r="F106" s="65">
        <v>5082</v>
      </c>
      <c r="G106" s="65">
        <v>4922</v>
      </c>
      <c r="H106" s="65">
        <v>4802</v>
      </c>
      <c r="I106" s="65">
        <v>4747</v>
      </c>
      <c r="J106" s="65">
        <v>4661</v>
      </c>
      <c r="K106" s="65">
        <v>4592</v>
      </c>
      <c r="L106" s="65">
        <v>4526</v>
      </c>
      <c r="M106" s="67">
        <v>3800</v>
      </c>
      <c r="P106" s="65">
        <f t="shared" si="7"/>
        <v>4526</v>
      </c>
      <c r="Q106" s="65">
        <f t="shared" si="10"/>
        <v>4445</v>
      </c>
      <c r="R106" s="65">
        <f t="shared" si="8"/>
        <v>4365</v>
      </c>
      <c r="S106" s="65">
        <f t="shared" si="8"/>
        <v>4284</v>
      </c>
      <c r="T106" s="65">
        <f t="shared" ref="R106:X123" si="11">ROUND((_xlfn.FORECAST.LINEAR(T$3,$L106:$M106,$L$3:$M$3)),0)</f>
        <v>4203</v>
      </c>
      <c r="U106" s="65">
        <f t="shared" si="11"/>
        <v>4123</v>
      </c>
      <c r="V106" s="65">
        <f t="shared" si="11"/>
        <v>4042</v>
      </c>
      <c r="W106" s="65">
        <f t="shared" si="11"/>
        <v>3961</v>
      </c>
      <c r="X106" s="65">
        <f t="shared" si="11"/>
        <v>3881</v>
      </c>
      <c r="Y106" s="60">
        <f t="shared" si="9"/>
        <v>3800</v>
      </c>
      <c r="Z106" s="52" t="s">
        <v>293</v>
      </c>
    </row>
    <row r="107" spans="1:26" x14ac:dyDescent="0.35">
      <c r="A107" s="60" t="str">
        <f>VLOOKUP(B107,IKP!$Q$6:$R$124,2,FALSE)</f>
        <v>Vidzemes statistiskais reģions</v>
      </c>
      <c r="B107" s="59" t="s">
        <v>103</v>
      </c>
      <c r="C107" s="65"/>
      <c r="D107" s="65">
        <v>12956</v>
      </c>
      <c r="E107" s="65">
        <v>12811</v>
      </c>
      <c r="F107" s="65">
        <v>12697</v>
      </c>
      <c r="G107" s="65">
        <v>12472</v>
      </c>
      <c r="H107" s="65">
        <v>12290</v>
      </c>
      <c r="I107" s="65">
        <v>12082</v>
      </c>
      <c r="J107" s="65">
        <v>12015</v>
      </c>
      <c r="K107" s="65">
        <v>12077</v>
      </c>
      <c r="L107" s="65">
        <v>11945</v>
      </c>
      <c r="M107" s="67">
        <v>9956</v>
      </c>
      <c r="P107" s="65">
        <f t="shared" si="7"/>
        <v>11945</v>
      </c>
      <c r="Q107" s="65">
        <f t="shared" si="10"/>
        <v>11724</v>
      </c>
      <c r="R107" s="65">
        <f t="shared" si="11"/>
        <v>11503</v>
      </c>
      <c r="S107" s="65">
        <f t="shared" si="11"/>
        <v>11282</v>
      </c>
      <c r="T107" s="65">
        <f t="shared" si="11"/>
        <v>11061</v>
      </c>
      <c r="U107" s="65">
        <f t="shared" si="11"/>
        <v>10840</v>
      </c>
      <c r="V107" s="65">
        <f t="shared" si="11"/>
        <v>10619</v>
      </c>
      <c r="W107" s="65">
        <f t="shared" si="11"/>
        <v>10398</v>
      </c>
      <c r="X107" s="65">
        <f t="shared" si="11"/>
        <v>10177</v>
      </c>
      <c r="Y107" s="60">
        <f t="shared" si="9"/>
        <v>9956</v>
      </c>
      <c r="Z107" s="52" t="s">
        <v>294</v>
      </c>
    </row>
    <row r="108" spans="1:26" x14ac:dyDescent="0.35">
      <c r="A108" s="60" t="str">
        <f>VLOOKUP(B108,IKP!$Q$6:$R$124,2,FALSE)</f>
        <v>Pierīgas statistiskais reģions</v>
      </c>
      <c r="B108" s="59" t="s">
        <v>104</v>
      </c>
      <c r="C108" s="65"/>
      <c r="D108" s="65">
        <v>10237</v>
      </c>
      <c r="E108" s="65">
        <v>10195</v>
      </c>
      <c r="F108" s="65">
        <v>10219</v>
      </c>
      <c r="G108" s="65">
        <v>10237</v>
      </c>
      <c r="H108" s="65">
        <v>10293</v>
      </c>
      <c r="I108" s="65">
        <v>10492</v>
      </c>
      <c r="J108" s="65">
        <v>10845</v>
      </c>
      <c r="K108" s="65">
        <v>11563</v>
      </c>
      <c r="L108" s="65">
        <v>12201</v>
      </c>
      <c r="M108" s="67">
        <v>11259</v>
      </c>
      <c r="P108" s="65">
        <f t="shared" si="7"/>
        <v>12201</v>
      </c>
      <c r="Q108" s="65">
        <f t="shared" si="10"/>
        <v>12096</v>
      </c>
      <c r="R108" s="65">
        <f t="shared" si="11"/>
        <v>11992</v>
      </c>
      <c r="S108" s="65">
        <f t="shared" si="11"/>
        <v>11887</v>
      </c>
      <c r="T108" s="65">
        <f t="shared" si="11"/>
        <v>11782</v>
      </c>
      <c r="U108" s="65">
        <f t="shared" si="11"/>
        <v>11678</v>
      </c>
      <c r="V108" s="65">
        <f t="shared" si="11"/>
        <v>11573</v>
      </c>
      <c r="W108" s="65">
        <f t="shared" si="11"/>
        <v>11468</v>
      </c>
      <c r="X108" s="65">
        <f t="shared" si="11"/>
        <v>11364</v>
      </c>
      <c r="Y108" s="60">
        <f t="shared" si="9"/>
        <v>11259</v>
      </c>
      <c r="Z108" s="52" t="s">
        <v>292</v>
      </c>
    </row>
    <row r="109" spans="1:26" x14ac:dyDescent="0.35">
      <c r="A109" s="60" t="str">
        <f>VLOOKUP(B109,IKP!$Q$6:$R$124,2,FALSE)</f>
        <v>Vidzemes statistiskais reģions</v>
      </c>
      <c r="B109" s="59" t="s">
        <v>105</v>
      </c>
      <c r="C109" s="65"/>
      <c r="D109" s="65">
        <v>3589</v>
      </c>
      <c r="E109" s="65">
        <v>3459</v>
      </c>
      <c r="F109" s="65">
        <v>3334</v>
      </c>
      <c r="G109" s="65">
        <v>3208</v>
      </c>
      <c r="H109" s="65">
        <v>3077</v>
      </c>
      <c r="I109" s="65">
        <v>2945</v>
      </c>
      <c r="J109" s="65">
        <v>2915</v>
      </c>
      <c r="K109" s="65">
        <v>2857</v>
      </c>
      <c r="L109" s="65">
        <v>2892</v>
      </c>
      <c r="M109" s="67">
        <v>1684</v>
      </c>
      <c r="P109" s="65">
        <f t="shared" si="7"/>
        <v>2892</v>
      </c>
      <c r="Q109" s="65">
        <f t="shared" si="10"/>
        <v>2758</v>
      </c>
      <c r="R109" s="65">
        <f t="shared" si="11"/>
        <v>2624</v>
      </c>
      <c r="S109" s="65">
        <f t="shared" si="11"/>
        <v>2489</v>
      </c>
      <c r="T109" s="65">
        <f t="shared" si="11"/>
        <v>2355</v>
      </c>
      <c r="U109" s="65">
        <f t="shared" si="11"/>
        <v>2221</v>
      </c>
      <c r="V109" s="65">
        <f t="shared" si="11"/>
        <v>2087</v>
      </c>
      <c r="W109" s="65">
        <f t="shared" si="11"/>
        <v>1952</v>
      </c>
      <c r="X109" s="65">
        <f t="shared" si="11"/>
        <v>1818</v>
      </c>
      <c r="Y109" s="60">
        <f t="shared" si="9"/>
        <v>1684</v>
      </c>
      <c r="Z109" s="52" t="s">
        <v>294</v>
      </c>
    </row>
    <row r="110" spans="1:26" x14ac:dyDescent="0.35">
      <c r="A110" s="60" t="str">
        <f>VLOOKUP(B110,IKP!$Q$6:$R$124,2,FALSE)</f>
        <v>Kurzemes statistiskais reģions</v>
      </c>
      <c r="B110" s="59" t="s">
        <v>106</v>
      </c>
      <c r="C110" s="65"/>
      <c r="D110" s="65">
        <v>30328</v>
      </c>
      <c r="E110" s="65">
        <v>29747</v>
      </c>
      <c r="F110" s="65">
        <v>29447</v>
      </c>
      <c r="G110" s="65">
        <v>29004</v>
      </c>
      <c r="H110" s="65">
        <v>28425</v>
      </c>
      <c r="I110" s="65">
        <v>28071</v>
      </c>
      <c r="J110" s="65">
        <v>27730</v>
      </c>
      <c r="K110" s="65">
        <v>27689</v>
      </c>
      <c r="L110" s="65">
        <v>27391</v>
      </c>
      <c r="M110" s="67">
        <v>22962</v>
      </c>
      <c r="P110" s="65">
        <f t="shared" si="7"/>
        <v>27391</v>
      </c>
      <c r="Q110" s="65">
        <f t="shared" si="10"/>
        <v>26899</v>
      </c>
      <c r="R110" s="65">
        <f t="shared" si="11"/>
        <v>26407</v>
      </c>
      <c r="S110" s="65">
        <f t="shared" si="11"/>
        <v>25915</v>
      </c>
      <c r="T110" s="65">
        <f t="shared" si="11"/>
        <v>25423</v>
      </c>
      <c r="U110" s="65">
        <f t="shared" si="11"/>
        <v>24930</v>
      </c>
      <c r="V110" s="65">
        <f t="shared" si="11"/>
        <v>24438</v>
      </c>
      <c r="W110" s="65">
        <f t="shared" si="11"/>
        <v>23946</v>
      </c>
      <c r="X110" s="65">
        <f t="shared" si="11"/>
        <v>23454</v>
      </c>
      <c r="Y110" s="60">
        <f t="shared" si="9"/>
        <v>22962</v>
      </c>
      <c r="Z110" s="52" t="s">
        <v>293</v>
      </c>
    </row>
    <row r="111" spans="1:26" x14ac:dyDescent="0.35">
      <c r="A111" s="60" t="str">
        <f>VLOOKUP(B111,IKP!$Q$6:$R$124,2,FALSE)</f>
        <v>Zemgales statistiskais reģions</v>
      </c>
      <c r="B111" s="59" t="s">
        <v>107</v>
      </c>
      <c r="C111" s="65"/>
      <c r="D111" s="65">
        <v>3579</v>
      </c>
      <c r="E111" s="65">
        <v>3501</v>
      </c>
      <c r="F111" s="65">
        <v>3438</v>
      </c>
      <c r="G111" s="65">
        <v>3492</v>
      </c>
      <c r="H111" s="65">
        <v>3398</v>
      </c>
      <c r="I111" s="65">
        <v>3396</v>
      </c>
      <c r="J111" s="65">
        <v>3339</v>
      </c>
      <c r="K111" s="65">
        <v>3353</v>
      </c>
      <c r="L111" s="65">
        <v>3273</v>
      </c>
      <c r="M111" s="67">
        <v>2910</v>
      </c>
      <c r="P111" s="65">
        <f t="shared" si="7"/>
        <v>3273</v>
      </c>
      <c r="Q111" s="65">
        <f t="shared" si="10"/>
        <v>3233</v>
      </c>
      <c r="R111" s="65">
        <f t="shared" si="11"/>
        <v>3192</v>
      </c>
      <c r="S111" s="65">
        <f t="shared" si="11"/>
        <v>3152</v>
      </c>
      <c r="T111" s="65">
        <f t="shared" si="11"/>
        <v>3112</v>
      </c>
      <c r="U111" s="65">
        <f t="shared" si="11"/>
        <v>3071</v>
      </c>
      <c r="V111" s="65">
        <f t="shared" si="11"/>
        <v>3031</v>
      </c>
      <c r="W111" s="65">
        <f t="shared" si="11"/>
        <v>2991</v>
      </c>
      <c r="X111" s="65">
        <f t="shared" si="11"/>
        <v>2950</v>
      </c>
      <c r="Y111" s="60">
        <f t="shared" si="9"/>
        <v>2910</v>
      </c>
      <c r="Z111" s="52" t="s">
        <v>295</v>
      </c>
    </row>
    <row r="112" spans="1:26" x14ac:dyDescent="0.35">
      <c r="A112" s="60" t="str">
        <f>VLOOKUP(B112,IKP!$Q$6:$R$124,2,FALSE)</f>
        <v>Pierīgas statistiskais reģions</v>
      </c>
      <c r="B112" s="59" t="s">
        <v>108</v>
      </c>
      <c r="C112" s="65"/>
      <c r="D112" s="65">
        <v>29719</v>
      </c>
      <c r="E112" s="65">
        <v>29177</v>
      </c>
      <c r="F112" s="65">
        <v>29069</v>
      </c>
      <c r="G112" s="65">
        <v>28677</v>
      </c>
      <c r="H112" s="65">
        <v>28221</v>
      </c>
      <c r="I112" s="65">
        <v>27901</v>
      </c>
      <c r="J112" s="65">
        <v>27848</v>
      </c>
      <c r="K112" s="65">
        <v>27698</v>
      </c>
      <c r="L112" s="65">
        <v>27614</v>
      </c>
      <c r="M112" s="67">
        <v>23531</v>
      </c>
      <c r="P112" s="65">
        <f t="shared" si="7"/>
        <v>27614</v>
      </c>
      <c r="Q112" s="65">
        <f t="shared" si="10"/>
        <v>27160</v>
      </c>
      <c r="R112" s="65">
        <f t="shared" si="11"/>
        <v>26707</v>
      </c>
      <c r="S112" s="65">
        <f t="shared" si="11"/>
        <v>26253</v>
      </c>
      <c r="T112" s="65">
        <f t="shared" si="11"/>
        <v>25799</v>
      </c>
      <c r="U112" s="65">
        <f t="shared" si="11"/>
        <v>25346</v>
      </c>
      <c r="V112" s="65">
        <f t="shared" si="11"/>
        <v>24892</v>
      </c>
      <c r="W112" s="65">
        <f t="shared" si="11"/>
        <v>24438</v>
      </c>
      <c r="X112" s="65">
        <f t="shared" si="11"/>
        <v>23985</v>
      </c>
      <c r="Y112" s="60">
        <f t="shared" si="9"/>
        <v>23531</v>
      </c>
      <c r="Z112" s="52" t="s">
        <v>292</v>
      </c>
    </row>
    <row r="113" spans="1:26" x14ac:dyDescent="0.35">
      <c r="A113" s="60" t="str">
        <f>VLOOKUP(B113,IKP!$Q$6:$R$124,2,FALSE)</f>
        <v>Kurzemes statistiskais reģions</v>
      </c>
      <c r="B113" s="59" t="s">
        <v>109</v>
      </c>
      <c r="C113" s="65"/>
      <c r="D113" s="65">
        <v>2583</v>
      </c>
      <c r="E113" s="65">
        <v>2520</v>
      </c>
      <c r="F113" s="65">
        <v>2469</v>
      </c>
      <c r="G113" s="65">
        <v>2429</v>
      </c>
      <c r="H113" s="65">
        <v>2397</v>
      </c>
      <c r="I113" s="65">
        <v>2337</v>
      </c>
      <c r="J113" s="65">
        <v>2285</v>
      </c>
      <c r="K113" s="65">
        <v>2276</v>
      </c>
      <c r="L113" s="65">
        <v>2216</v>
      </c>
      <c r="M113" s="67">
        <v>1897</v>
      </c>
      <c r="P113" s="65">
        <f t="shared" si="7"/>
        <v>2216</v>
      </c>
      <c r="Q113" s="65">
        <f t="shared" si="10"/>
        <v>2181</v>
      </c>
      <c r="R113" s="65">
        <f t="shared" si="11"/>
        <v>2145</v>
      </c>
      <c r="S113" s="65">
        <f t="shared" si="11"/>
        <v>2110</v>
      </c>
      <c r="T113" s="65">
        <f t="shared" si="11"/>
        <v>2074</v>
      </c>
      <c r="U113" s="65">
        <f t="shared" si="11"/>
        <v>2039</v>
      </c>
      <c r="V113" s="65">
        <f t="shared" si="11"/>
        <v>2003</v>
      </c>
      <c r="W113" s="65">
        <f t="shared" si="11"/>
        <v>1968</v>
      </c>
      <c r="X113" s="65">
        <f t="shared" si="11"/>
        <v>1932</v>
      </c>
      <c r="Y113" s="60">
        <f t="shared" si="9"/>
        <v>1897</v>
      </c>
      <c r="Z113" s="52" t="s">
        <v>293</v>
      </c>
    </row>
    <row r="114" spans="1:26" x14ac:dyDescent="0.35">
      <c r="A114" s="60" t="str">
        <f>VLOOKUP(B114,IKP!$Q$6:$R$124,2,FALSE)</f>
        <v>Vidzemes statistiskais reģions</v>
      </c>
      <c r="B114" s="59" t="s">
        <v>110</v>
      </c>
      <c r="C114" s="65"/>
      <c r="D114" s="65">
        <v>8915</v>
      </c>
      <c r="E114" s="65">
        <v>8664</v>
      </c>
      <c r="F114" s="65">
        <v>8480</v>
      </c>
      <c r="G114" s="65">
        <v>8269</v>
      </c>
      <c r="H114" s="65">
        <v>8049</v>
      </c>
      <c r="I114" s="65">
        <v>7813</v>
      </c>
      <c r="J114" s="65">
        <v>7692</v>
      </c>
      <c r="K114" s="65">
        <v>7684</v>
      </c>
      <c r="L114" s="65">
        <v>7596</v>
      </c>
      <c r="M114" s="67">
        <v>5339</v>
      </c>
      <c r="P114" s="65">
        <f t="shared" si="7"/>
        <v>7596</v>
      </c>
      <c r="Q114" s="65">
        <f t="shared" si="10"/>
        <v>7345</v>
      </c>
      <c r="R114" s="65">
        <f t="shared" si="11"/>
        <v>7094</v>
      </c>
      <c r="S114" s="65">
        <f t="shared" si="11"/>
        <v>6844</v>
      </c>
      <c r="T114" s="65">
        <f t="shared" si="11"/>
        <v>6593</v>
      </c>
      <c r="U114" s="65">
        <f t="shared" si="11"/>
        <v>6342</v>
      </c>
      <c r="V114" s="65">
        <f t="shared" si="11"/>
        <v>6091</v>
      </c>
      <c r="W114" s="65">
        <f t="shared" si="11"/>
        <v>5841</v>
      </c>
      <c r="X114" s="65">
        <f t="shared" si="11"/>
        <v>5590</v>
      </c>
      <c r="Y114" s="60">
        <f t="shared" si="9"/>
        <v>5339</v>
      </c>
      <c r="Z114" s="52" t="s">
        <v>294</v>
      </c>
    </row>
    <row r="115" spans="1:26" x14ac:dyDescent="0.35">
      <c r="A115" s="60" t="str">
        <f>VLOOKUP(B115,IKP!$Q$6:$R$124,2,FALSE)</f>
        <v>Vidzemes statistiskais reģions</v>
      </c>
      <c r="B115" s="59" t="s">
        <v>111</v>
      </c>
      <c r="C115" s="65"/>
      <c r="D115" s="65">
        <v>3481</v>
      </c>
      <c r="E115" s="65">
        <v>3395</v>
      </c>
      <c r="F115" s="65">
        <v>3340</v>
      </c>
      <c r="G115" s="65">
        <v>3263</v>
      </c>
      <c r="H115" s="65">
        <v>3216</v>
      </c>
      <c r="I115" s="65">
        <v>3132</v>
      </c>
      <c r="J115" s="65">
        <v>3056</v>
      </c>
      <c r="K115" s="65">
        <v>3015</v>
      </c>
      <c r="L115" s="65">
        <v>2945</v>
      </c>
      <c r="M115" s="67">
        <v>2362</v>
      </c>
      <c r="P115" s="65">
        <f t="shared" si="7"/>
        <v>2945</v>
      </c>
      <c r="Q115" s="65">
        <f t="shared" si="10"/>
        <v>2880</v>
      </c>
      <c r="R115" s="65">
        <f t="shared" si="11"/>
        <v>2815</v>
      </c>
      <c r="S115" s="65">
        <f t="shared" si="11"/>
        <v>2751</v>
      </c>
      <c r="T115" s="65">
        <f t="shared" si="11"/>
        <v>2686</v>
      </c>
      <c r="U115" s="65">
        <f t="shared" si="11"/>
        <v>2621</v>
      </c>
      <c r="V115" s="65">
        <f t="shared" si="11"/>
        <v>2556</v>
      </c>
      <c r="W115" s="65">
        <f t="shared" si="11"/>
        <v>2492</v>
      </c>
      <c r="X115" s="65">
        <f t="shared" si="11"/>
        <v>2427</v>
      </c>
      <c r="Y115" s="60">
        <f t="shared" si="9"/>
        <v>2362</v>
      </c>
      <c r="Z115" s="52" t="s">
        <v>294</v>
      </c>
    </row>
    <row r="116" spans="1:26" x14ac:dyDescent="0.35">
      <c r="A116" s="60" t="str">
        <f>VLOOKUP(B116,IKP!$Q$6:$R$124,2,FALSE)</f>
        <v>Latgales statistiskais reģions</v>
      </c>
      <c r="B116" s="59" t="s">
        <v>112</v>
      </c>
      <c r="C116" s="65"/>
      <c r="D116" s="65">
        <v>2067</v>
      </c>
      <c r="E116" s="65">
        <v>2034</v>
      </c>
      <c r="F116" s="65">
        <v>2009</v>
      </c>
      <c r="G116" s="65">
        <v>1961</v>
      </c>
      <c r="H116" s="65">
        <v>1931</v>
      </c>
      <c r="I116" s="65">
        <v>1869</v>
      </c>
      <c r="J116" s="65">
        <v>1824</v>
      </c>
      <c r="K116" s="65">
        <v>1830</v>
      </c>
      <c r="L116" s="65">
        <v>1754</v>
      </c>
      <c r="M116" s="67">
        <v>1488</v>
      </c>
      <c r="P116" s="65">
        <f t="shared" si="7"/>
        <v>1754</v>
      </c>
      <c r="Q116" s="65">
        <f t="shared" si="10"/>
        <v>1724</v>
      </c>
      <c r="R116" s="65">
        <f t="shared" si="11"/>
        <v>1695</v>
      </c>
      <c r="S116" s="65">
        <f t="shared" si="11"/>
        <v>1665</v>
      </c>
      <c r="T116" s="65">
        <f t="shared" si="11"/>
        <v>1636</v>
      </c>
      <c r="U116" s="65">
        <f t="shared" si="11"/>
        <v>1606</v>
      </c>
      <c r="V116" s="65">
        <f t="shared" si="11"/>
        <v>1577</v>
      </c>
      <c r="W116" s="65">
        <f t="shared" si="11"/>
        <v>1547</v>
      </c>
      <c r="X116" s="65">
        <f t="shared" si="11"/>
        <v>1518</v>
      </c>
      <c r="Y116" s="60">
        <f t="shared" si="9"/>
        <v>1488</v>
      </c>
      <c r="Z116" s="52" t="s">
        <v>296</v>
      </c>
    </row>
    <row r="117" spans="1:26" x14ac:dyDescent="0.35">
      <c r="A117" s="60" t="str">
        <f>VLOOKUP(B117,IKP!$Q$6:$R$124,2,FALSE)</f>
        <v>Vidzemes statistiskais reģions</v>
      </c>
      <c r="B117" s="59" t="s">
        <v>113</v>
      </c>
      <c r="C117" s="65"/>
      <c r="D117" s="65">
        <v>4090</v>
      </c>
      <c r="E117" s="65">
        <v>4030</v>
      </c>
      <c r="F117" s="65">
        <v>3947</v>
      </c>
      <c r="G117" s="65">
        <v>3849</v>
      </c>
      <c r="H117" s="65">
        <v>3696</v>
      </c>
      <c r="I117" s="65">
        <v>3615</v>
      </c>
      <c r="J117" s="65">
        <v>3543</v>
      </c>
      <c r="K117" s="65">
        <v>3645</v>
      </c>
      <c r="L117" s="65">
        <v>3614</v>
      </c>
      <c r="M117" s="67">
        <v>2642</v>
      </c>
      <c r="P117" s="65">
        <f t="shared" si="7"/>
        <v>3614</v>
      </c>
      <c r="Q117" s="65">
        <f t="shared" si="10"/>
        <v>3506</v>
      </c>
      <c r="R117" s="65">
        <f t="shared" si="11"/>
        <v>3398</v>
      </c>
      <c r="S117" s="65">
        <f t="shared" si="11"/>
        <v>3290</v>
      </c>
      <c r="T117" s="65">
        <f t="shared" si="11"/>
        <v>3182</v>
      </c>
      <c r="U117" s="65">
        <f t="shared" si="11"/>
        <v>3074</v>
      </c>
      <c r="V117" s="65">
        <f t="shared" si="11"/>
        <v>2966</v>
      </c>
      <c r="W117" s="65">
        <f t="shared" si="11"/>
        <v>2858</v>
      </c>
      <c r="X117" s="65">
        <f t="shared" si="11"/>
        <v>2750</v>
      </c>
      <c r="Y117" s="60">
        <f t="shared" si="9"/>
        <v>2642</v>
      </c>
      <c r="Z117" s="52" t="s">
        <v>294</v>
      </c>
    </row>
    <row r="118" spans="1:26" x14ac:dyDescent="0.35">
      <c r="A118" s="60" t="str">
        <f>VLOOKUP(B118,IKP!$Q$6:$R$124,2,FALSE)</f>
        <v>Zemgales statistiskais reģions</v>
      </c>
      <c r="B118" s="59" t="s">
        <v>114</v>
      </c>
      <c r="C118" s="65"/>
      <c r="D118" s="65">
        <v>8636</v>
      </c>
      <c r="E118" s="65">
        <v>8486</v>
      </c>
      <c r="F118" s="65">
        <v>8375</v>
      </c>
      <c r="G118" s="65">
        <v>8263</v>
      </c>
      <c r="H118" s="65">
        <v>7999</v>
      </c>
      <c r="I118" s="65">
        <v>7893</v>
      </c>
      <c r="J118" s="65">
        <v>7807</v>
      </c>
      <c r="K118" s="65">
        <v>7848</v>
      </c>
      <c r="L118" s="65">
        <v>7795</v>
      </c>
      <c r="M118" s="67">
        <v>6488</v>
      </c>
      <c r="P118" s="65">
        <f t="shared" si="7"/>
        <v>7795</v>
      </c>
      <c r="Q118" s="65">
        <f t="shared" si="10"/>
        <v>7650</v>
      </c>
      <c r="R118" s="65">
        <f t="shared" si="11"/>
        <v>7505</v>
      </c>
      <c r="S118" s="65">
        <f t="shared" si="11"/>
        <v>7359</v>
      </c>
      <c r="T118" s="65">
        <f t="shared" si="11"/>
        <v>7214</v>
      </c>
      <c r="U118" s="65">
        <f t="shared" si="11"/>
        <v>7069</v>
      </c>
      <c r="V118" s="65">
        <f t="shared" si="11"/>
        <v>6924</v>
      </c>
      <c r="W118" s="65">
        <f t="shared" si="11"/>
        <v>6778</v>
      </c>
      <c r="X118" s="65">
        <f t="shared" si="11"/>
        <v>6633</v>
      </c>
      <c r="Y118" s="60">
        <f t="shared" si="9"/>
        <v>6488</v>
      </c>
      <c r="Z118" s="52" t="s">
        <v>295</v>
      </c>
    </row>
    <row r="119" spans="1:26" x14ac:dyDescent="0.35">
      <c r="A119" s="60" t="str">
        <f>VLOOKUP(B119,IKP!$Q$6:$R$124,2,FALSE)</f>
        <v>Kurzemes statistiskais reģions</v>
      </c>
      <c r="B119" s="59" t="s">
        <v>115</v>
      </c>
      <c r="C119" s="65"/>
      <c r="D119" s="65">
        <v>12088</v>
      </c>
      <c r="E119" s="65">
        <v>11859</v>
      </c>
      <c r="F119" s="65">
        <v>11697</v>
      </c>
      <c r="G119" s="65">
        <v>11450</v>
      </c>
      <c r="H119" s="65">
        <v>11252</v>
      </c>
      <c r="I119" s="65">
        <v>11061</v>
      </c>
      <c r="J119" s="65">
        <v>10925</v>
      </c>
      <c r="K119" s="65">
        <v>10936</v>
      </c>
      <c r="L119" s="65">
        <v>10777</v>
      </c>
      <c r="M119" s="67">
        <v>9272</v>
      </c>
      <c r="P119" s="65">
        <f t="shared" si="7"/>
        <v>10777</v>
      </c>
      <c r="Q119" s="65">
        <f t="shared" si="10"/>
        <v>10610</v>
      </c>
      <c r="R119" s="65">
        <f t="shared" si="11"/>
        <v>10443</v>
      </c>
      <c r="S119" s="65">
        <f t="shared" si="11"/>
        <v>10275</v>
      </c>
      <c r="T119" s="65">
        <f t="shared" si="11"/>
        <v>10108</v>
      </c>
      <c r="U119" s="65">
        <f t="shared" si="11"/>
        <v>9941</v>
      </c>
      <c r="V119" s="65">
        <f t="shared" si="11"/>
        <v>9774</v>
      </c>
      <c r="W119" s="65">
        <f t="shared" si="11"/>
        <v>9606</v>
      </c>
      <c r="X119" s="65">
        <f t="shared" si="11"/>
        <v>9439</v>
      </c>
      <c r="Y119" s="60">
        <f t="shared" si="9"/>
        <v>9272</v>
      </c>
      <c r="Z119" s="52" t="s">
        <v>293</v>
      </c>
    </row>
    <row r="120" spans="1:26" x14ac:dyDescent="0.35">
      <c r="A120" s="60" t="str">
        <f>VLOOKUP(B120,IKP!$Q$6:$R$124,2,FALSE)</f>
        <v>Zemgales statistiskais reģions</v>
      </c>
      <c r="B120" s="59" t="s">
        <v>116</v>
      </c>
      <c r="C120" s="65"/>
      <c r="D120" s="65">
        <v>4013</v>
      </c>
      <c r="E120" s="65">
        <v>3965</v>
      </c>
      <c r="F120" s="65">
        <v>3886</v>
      </c>
      <c r="G120" s="65">
        <v>3815</v>
      </c>
      <c r="H120" s="65">
        <v>3701</v>
      </c>
      <c r="I120" s="65">
        <v>3619</v>
      </c>
      <c r="J120" s="65">
        <v>3567</v>
      </c>
      <c r="K120" s="65">
        <v>3574</v>
      </c>
      <c r="L120" s="65">
        <v>3535</v>
      </c>
      <c r="M120" s="67">
        <v>2780</v>
      </c>
      <c r="P120" s="65">
        <f t="shared" si="7"/>
        <v>3535</v>
      </c>
      <c r="Q120" s="65">
        <f t="shared" si="10"/>
        <v>3451</v>
      </c>
      <c r="R120" s="65">
        <f t="shared" si="11"/>
        <v>3367</v>
      </c>
      <c r="S120" s="65">
        <f t="shared" si="11"/>
        <v>3283</v>
      </c>
      <c r="T120" s="65">
        <f t="shared" si="11"/>
        <v>3199</v>
      </c>
      <c r="U120" s="65">
        <f t="shared" si="11"/>
        <v>3116</v>
      </c>
      <c r="V120" s="65">
        <f t="shared" si="11"/>
        <v>3032</v>
      </c>
      <c r="W120" s="65">
        <f t="shared" si="11"/>
        <v>2948</v>
      </c>
      <c r="X120" s="65">
        <f t="shared" si="11"/>
        <v>2864</v>
      </c>
      <c r="Y120" s="60">
        <f t="shared" si="9"/>
        <v>2780</v>
      </c>
      <c r="Z120" s="52" t="s">
        <v>295</v>
      </c>
    </row>
    <row r="121" spans="1:26" x14ac:dyDescent="0.35">
      <c r="A121" s="60" t="str">
        <f>VLOOKUP(B121,IKP!$Q$6:$R$124,2,FALSE)</f>
        <v>Latgales statistiskais reģions</v>
      </c>
      <c r="B121" s="59" t="s">
        <v>117</v>
      </c>
      <c r="C121" s="65"/>
      <c r="D121" s="65">
        <v>5451</v>
      </c>
      <c r="E121" s="65">
        <v>5314</v>
      </c>
      <c r="F121" s="65">
        <v>5160</v>
      </c>
      <c r="G121" s="65">
        <v>5015</v>
      </c>
      <c r="H121" s="65">
        <v>4873</v>
      </c>
      <c r="I121" s="65">
        <v>4733</v>
      </c>
      <c r="J121" s="65">
        <v>4596</v>
      </c>
      <c r="K121" s="65">
        <v>4551</v>
      </c>
      <c r="L121" s="65">
        <v>4476</v>
      </c>
      <c r="M121" s="67">
        <v>3359</v>
      </c>
      <c r="P121" s="65">
        <f t="shared" si="7"/>
        <v>4476</v>
      </c>
      <c r="Q121" s="65">
        <f t="shared" si="10"/>
        <v>4352</v>
      </c>
      <c r="R121" s="65">
        <f t="shared" si="11"/>
        <v>4228</v>
      </c>
      <c r="S121" s="65">
        <f t="shared" si="11"/>
        <v>4104</v>
      </c>
      <c r="T121" s="65">
        <f t="shared" si="11"/>
        <v>3980</v>
      </c>
      <c r="U121" s="65">
        <f t="shared" si="11"/>
        <v>3855</v>
      </c>
      <c r="V121" s="65">
        <f t="shared" si="11"/>
        <v>3731</v>
      </c>
      <c r="W121" s="65">
        <f t="shared" si="11"/>
        <v>3607</v>
      </c>
      <c r="X121" s="65">
        <f t="shared" si="11"/>
        <v>3483</v>
      </c>
      <c r="Y121" s="60">
        <f t="shared" si="9"/>
        <v>3359</v>
      </c>
      <c r="Z121" s="52" t="s">
        <v>296</v>
      </c>
    </row>
    <row r="122" spans="1:26" x14ac:dyDescent="0.35">
      <c r="A122" s="60" t="str">
        <f>VLOOKUP(B122,IKP!$Q$6:$R$124,2,FALSE)</f>
        <v>Latgales statistiskais reģions</v>
      </c>
      <c r="B122" s="59" t="s">
        <v>118</v>
      </c>
      <c r="C122" s="65"/>
      <c r="D122" s="65">
        <v>6256</v>
      </c>
      <c r="E122" s="65">
        <v>6113</v>
      </c>
      <c r="F122" s="65">
        <v>6026</v>
      </c>
      <c r="G122" s="65">
        <v>5904</v>
      </c>
      <c r="H122" s="65">
        <v>5779</v>
      </c>
      <c r="I122" s="65">
        <v>5659</v>
      </c>
      <c r="J122" s="65">
        <v>5522</v>
      </c>
      <c r="K122" s="65">
        <v>5506</v>
      </c>
      <c r="L122" s="65">
        <v>5399</v>
      </c>
      <c r="M122" s="67">
        <v>4441</v>
      </c>
      <c r="P122" s="65">
        <f t="shared" si="7"/>
        <v>5399</v>
      </c>
      <c r="Q122" s="65">
        <f t="shared" si="10"/>
        <v>5293</v>
      </c>
      <c r="R122" s="65">
        <f t="shared" si="11"/>
        <v>5186</v>
      </c>
      <c r="S122" s="65">
        <f t="shared" si="11"/>
        <v>5080</v>
      </c>
      <c r="T122" s="65">
        <f t="shared" si="11"/>
        <v>4973</v>
      </c>
      <c r="U122" s="65">
        <f t="shared" si="11"/>
        <v>4867</v>
      </c>
      <c r="V122" s="65">
        <f t="shared" si="11"/>
        <v>4760</v>
      </c>
      <c r="W122" s="65">
        <f t="shared" si="11"/>
        <v>4654</v>
      </c>
      <c r="X122" s="65">
        <f t="shared" si="11"/>
        <v>4547</v>
      </c>
      <c r="Y122" s="60">
        <f t="shared" si="9"/>
        <v>4441</v>
      </c>
      <c r="Z122" s="52" t="s">
        <v>296</v>
      </c>
    </row>
    <row r="123" spans="1:26" x14ac:dyDescent="0.35">
      <c r="A123" s="60" t="str">
        <f>VLOOKUP(B123,IKP!$Q$6:$R$124,2,FALSE)</f>
        <v>Latgales statistiskais reģions</v>
      </c>
      <c r="B123" s="59" t="s">
        <v>119</v>
      </c>
      <c r="C123" s="65"/>
      <c r="D123" s="65">
        <v>3257</v>
      </c>
      <c r="E123" s="65">
        <v>3167</v>
      </c>
      <c r="F123" s="65">
        <v>3080</v>
      </c>
      <c r="G123" s="65">
        <v>2989</v>
      </c>
      <c r="H123" s="65">
        <v>2849</v>
      </c>
      <c r="I123" s="65">
        <v>2766</v>
      </c>
      <c r="J123" s="65">
        <v>2647</v>
      </c>
      <c r="K123" s="65">
        <v>2621</v>
      </c>
      <c r="L123" s="65">
        <v>2549</v>
      </c>
      <c r="M123" s="67">
        <v>1922</v>
      </c>
      <c r="P123" s="65">
        <f t="shared" si="7"/>
        <v>2549</v>
      </c>
      <c r="Q123" s="65">
        <f t="shared" si="10"/>
        <v>2479</v>
      </c>
      <c r="R123" s="65">
        <f t="shared" si="11"/>
        <v>2410</v>
      </c>
      <c r="S123" s="65">
        <f t="shared" si="11"/>
        <v>2340</v>
      </c>
      <c r="T123" s="65">
        <f t="shared" si="11"/>
        <v>2270</v>
      </c>
      <c r="U123" s="65">
        <f t="shared" si="11"/>
        <v>2201</v>
      </c>
      <c r="V123" s="65">
        <f t="shared" si="11"/>
        <v>2131</v>
      </c>
      <c r="W123" s="65">
        <f t="shared" si="11"/>
        <v>2061</v>
      </c>
      <c r="X123" s="65">
        <f t="shared" si="11"/>
        <v>1992</v>
      </c>
      <c r="Y123" s="60">
        <f t="shared" si="9"/>
        <v>1922</v>
      </c>
      <c r="Z123" s="52" t="s">
        <v>296</v>
      </c>
    </row>
    <row r="124" spans="1:26" x14ac:dyDescent="0.35">
      <c r="P124" s="54"/>
      <c r="Q124" s="54"/>
    </row>
    <row r="125" spans="1:26" x14ac:dyDescent="0.35">
      <c r="A125" s="55" t="s">
        <v>277</v>
      </c>
    </row>
    <row r="126" spans="1:26" x14ac:dyDescent="0.35">
      <c r="A126" s="55" t="s">
        <v>276</v>
      </c>
    </row>
    <row r="127" spans="1:26" x14ac:dyDescent="0.35">
      <c r="A127" s="55" t="s">
        <v>275</v>
      </c>
    </row>
    <row r="128" spans="1:26" x14ac:dyDescent="0.35">
      <c r="A128" s="55" t="s">
        <v>274</v>
      </c>
    </row>
    <row r="129" spans="1:1" x14ac:dyDescent="0.35">
      <c r="A129" s="55" t="s">
        <v>273</v>
      </c>
    </row>
    <row r="130" spans="1:1" x14ac:dyDescent="0.35">
      <c r="A130" s="55" t="s">
        <v>272</v>
      </c>
    </row>
    <row r="131" spans="1:1" x14ac:dyDescent="0.35">
      <c r="A131" s="55" t="s">
        <v>271</v>
      </c>
    </row>
    <row r="132" spans="1:1" x14ac:dyDescent="0.35">
      <c r="A132" s="55" t="s">
        <v>270</v>
      </c>
    </row>
    <row r="174" spans="1:3" x14ac:dyDescent="0.35">
      <c r="A174" s="4"/>
      <c r="B174" s="4"/>
      <c r="C174" s="4"/>
    </row>
    <row r="175" spans="1:3" x14ac:dyDescent="0.35">
      <c r="A175" s="4"/>
      <c r="B175" s="4"/>
      <c r="C175" s="4"/>
    </row>
  </sheetData>
  <sheetProtection algorithmName="SHA-512" hashValue="GR1oCxRWL8oqlVX99t1Mvsw6jGRLxwFHlaMigfyjOglmnGCayNScG6WM7KxenM4vHWCkoiIV1tWgubxZRFfDOA==" saltValue="SoEnc5Wqa/WrCs1D03XH+Q==" spinCount="100000" sheet="1" objects="1" scenarios="1"/>
  <mergeCells count="2">
    <mergeCell ref="Q2:X2"/>
    <mergeCell ref="D2:L2"/>
  </mergeCells>
  <pageMargins left="0.75" right="0.75" top="0.75" bottom="0.5" header="0.5" footer="0.75"/>
  <pageSetup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E50ED-D8FC-4599-9653-8BD78D502405}">
  <dimension ref="A1:G11"/>
  <sheetViews>
    <sheetView zoomScale="85" zoomScaleNormal="85" workbookViewId="0"/>
  </sheetViews>
  <sheetFormatPr defaultColWidth="8.90625" defaultRowHeight="15" customHeight="1" x14ac:dyDescent="0.35"/>
  <cols>
    <col min="1" max="1" width="22.36328125" style="68" bestFit="1" customWidth="1"/>
    <col min="2" max="2" width="19.54296875" style="68" bestFit="1" customWidth="1"/>
    <col min="3" max="3" width="20.453125" style="68" bestFit="1" customWidth="1"/>
    <col min="4" max="4" width="20.6328125" style="68" bestFit="1" customWidth="1"/>
    <col min="5" max="5" width="27.36328125" style="68" bestFit="1" customWidth="1"/>
    <col min="6" max="6" width="8" style="68" bestFit="1" customWidth="1"/>
    <col min="7" max="7" width="20.90625" style="68" customWidth="1"/>
    <col min="8" max="16384" width="8.90625" style="68"/>
  </cols>
  <sheetData>
    <row r="1" spans="1:7" ht="25.25" customHeight="1" x14ac:dyDescent="0.6">
      <c r="A1" s="40" t="s">
        <v>385</v>
      </c>
    </row>
    <row r="2" spans="1:7" ht="14.4" customHeight="1" x14ac:dyDescent="0.35">
      <c r="A2" s="76" t="s">
        <v>386</v>
      </c>
    </row>
    <row r="3" spans="1:7" ht="31.75" customHeight="1" x14ac:dyDescent="0.35">
      <c r="A3" s="75" t="s">
        <v>133</v>
      </c>
      <c r="B3" s="75" t="s">
        <v>132</v>
      </c>
      <c r="C3" s="75" t="s">
        <v>131</v>
      </c>
      <c r="D3" s="75" t="s">
        <v>130</v>
      </c>
      <c r="E3" s="75" t="s">
        <v>129</v>
      </c>
      <c r="F3" s="75" t="s">
        <v>128</v>
      </c>
      <c r="G3" s="2" t="s">
        <v>384</v>
      </c>
    </row>
    <row r="4" spans="1:7" ht="15" customHeight="1" x14ac:dyDescent="0.35">
      <c r="A4" s="214" t="s">
        <v>387</v>
      </c>
      <c r="B4" s="214"/>
      <c r="C4" s="214"/>
      <c r="D4" s="214"/>
      <c r="E4" s="214"/>
      <c r="F4" s="214"/>
      <c r="G4" s="69"/>
    </row>
    <row r="5" spans="1:7" ht="15" customHeight="1" x14ac:dyDescent="0.35">
      <c r="A5" s="70" t="s">
        <v>121</v>
      </c>
      <c r="B5" s="71">
        <v>59</v>
      </c>
      <c r="C5" s="71">
        <v>24010</v>
      </c>
      <c r="D5" s="71">
        <v>1</v>
      </c>
      <c r="E5" s="71">
        <v>1337</v>
      </c>
      <c r="F5" s="71">
        <v>25407</v>
      </c>
      <c r="G5" s="72">
        <f>F5/$F$11</f>
        <v>3.7022788971414332E-2</v>
      </c>
    </row>
    <row r="6" spans="1:7" ht="15" customHeight="1" x14ac:dyDescent="0.35">
      <c r="A6" s="70" t="s">
        <v>122</v>
      </c>
      <c r="B6" s="71">
        <v>55</v>
      </c>
      <c r="C6" s="71">
        <v>121812</v>
      </c>
      <c r="D6" s="71">
        <v>54</v>
      </c>
      <c r="E6" s="71">
        <v>3409</v>
      </c>
      <c r="F6" s="71">
        <v>125330</v>
      </c>
      <c r="G6" s="72">
        <f t="shared" ref="G6:G10" si="0">F6/$F$11</f>
        <v>0.18262943841411258</v>
      </c>
    </row>
    <row r="7" spans="1:7" ht="15" customHeight="1" x14ac:dyDescent="0.35">
      <c r="A7" s="70" t="s">
        <v>123</v>
      </c>
      <c r="B7" s="71">
        <v>123</v>
      </c>
      <c r="C7" s="71">
        <v>173338</v>
      </c>
      <c r="D7" s="71">
        <v>22</v>
      </c>
      <c r="E7" s="71">
        <v>6409</v>
      </c>
      <c r="F7" s="71">
        <v>179892</v>
      </c>
      <c r="G7" s="72">
        <f t="shared" si="0"/>
        <v>0.26213655896586247</v>
      </c>
    </row>
    <row r="8" spans="1:7" ht="15" customHeight="1" x14ac:dyDescent="0.35">
      <c r="A8" s="70" t="s">
        <v>124</v>
      </c>
      <c r="B8" s="71">
        <v>75</v>
      </c>
      <c r="C8" s="71">
        <v>172383</v>
      </c>
      <c r="D8" s="71">
        <v>308</v>
      </c>
      <c r="E8" s="71">
        <v>4051</v>
      </c>
      <c r="F8" s="71">
        <v>176817</v>
      </c>
      <c r="G8" s="72">
        <f t="shared" si="0"/>
        <v>0.25765570423735851</v>
      </c>
    </row>
    <row r="9" spans="1:7" ht="15" customHeight="1" x14ac:dyDescent="0.35">
      <c r="A9" s="70" t="s">
        <v>125</v>
      </c>
      <c r="B9" s="71">
        <v>40</v>
      </c>
      <c r="C9" s="71">
        <v>98036</v>
      </c>
      <c r="D9" s="71">
        <v>4</v>
      </c>
      <c r="E9" s="71">
        <v>2551</v>
      </c>
      <c r="F9" s="71">
        <v>100631</v>
      </c>
      <c r="G9" s="72">
        <f t="shared" si="0"/>
        <v>0.14663833892165135</v>
      </c>
    </row>
    <row r="10" spans="1:7" ht="15" customHeight="1" x14ac:dyDescent="0.35">
      <c r="A10" s="70" t="s">
        <v>126</v>
      </c>
      <c r="B10" s="71">
        <v>59</v>
      </c>
      <c r="C10" s="71">
        <v>75844</v>
      </c>
      <c r="D10" s="71">
        <v>4</v>
      </c>
      <c r="E10" s="71">
        <v>2269</v>
      </c>
      <c r="F10" s="71">
        <v>78176</v>
      </c>
      <c r="G10" s="72">
        <f t="shared" si="0"/>
        <v>0.11391717048960077</v>
      </c>
    </row>
    <row r="11" spans="1:7" ht="15" customHeight="1" x14ac:dyDescent="0.35">
      <c r="A11" s="73" t="s">
        <v>127</v>
      </c>
      <c r="B11" s="74">
        <v>411</v>
      </c>
      <c r="C11" s="74">
        <v>665423</v>
      </c>
      <c r="D11" s="74">
        <v>393</v>
      </c>
      <c r="E11" s="74">
        <v>20026</v>
      </c>
      <c r="F11" s="74">
        <v>686253</v>
      </c>
      <c r="G11" s="69"/>
    </row>
  </sheetData>
  <sheetProtection algorithmName="SHA-512" hashValue="tcxAYTWiPOT0CTVi4ngTMSTHHOpP6FjxBaKiRoshpXrjckc+b5TSUJv64hJu+ME+8Tgb9dZRJxaUTHb2bw1jCQ==" saltValue="xgVWGFlR7KW4Py05H24VHQ==" spinCount="100000" sheet="1" objects="1" scenarios="1"/>
  <mergeCells count="1">
    <mergeCell ref="A4:F4"/>
  </mergeCell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F71B1-0185-406A-A494-28AF6E2C9F95}">
  <dimension ref="A1:AD257"/>
  <sheetViews>
    <sheetView zoomScale="85" zoomScaleNormal="85" workbookViewId="0">
      <selection activeCell="M70" sqref="M70"/>
    </sheetView>
  </sheetViews>
  <sheetFormatPr defaultColWidth="8.90625" defaultRowHeight="14.5" x14ac:dyDescent="0.35"/>
  <cols>
    <col min="1" max="1" width="30.81640625" style="4" customWidth="1"/>
    <col min="2" max="2" width="9.90625" style="4" bestFit="1" customWidth="1"/>
    <col min="3" max="3" width="10.81640625" style="4" bestFit="1" customWidth="1"/>
    <col min="4" max="7" width="9.90625" style="4" bestFit="1" customWidth="1"/>
    <col min="8" max="8" width="12" style="4" bestFit="1" customWidth="1"/>
    <col min="9" max="9" width="10" style="4" bestFit="1" customWidth="1"/>
    <col min="10" max="10" width="12.36328125" style="4" bestFit="1" customWidth="1"/>
    <col min="11" max="12" width="10.81640625" style="4" bestFit="1" customWidth="1"/>
    <col min="13" max="13" width="12.453125" style="4" customWidth="1"/>
    <col min="14" max="14" width="27.36328125" style="4" customWidth="1"/>
    <col min="15" max="15" width="45.54296875" style="4" customWidth="1"/>
    <col min="16" max="16" width="6.90625" style="4" customWidth="1"/>
    <col min="17" max="17" width="23.36328125" style="4" customWidth="1"/>
    <col min="18" max="18" width="30.81640625" style="4" customWidth="1"/>
    <col min="19" max="29" width="11.54296875" style="4" customWidth="1"/>
    <col min="30" max="30" width="13.453125" style="4" customWidth="1"/>
    <col min="31" max="16384" width="8.90625" style="4"/>
  </cols>
  <sheetData>
    <row r="1" spans="1:30" ht="26" x14ac:dyDescent="0.6">
      <c r="A1" s="58" t="s">
        <v>412</v>
      </c>
      <c r="Q1" s="58" t="s">
        <v>413</v>
      </c>
      <c r="R1" s="77"/>
      <c r="T1" s="78"/>
      <c r="U1" s="78"/>
      <c r="V1" s="78"/>
      <c r="W1" s="78"/>
      <c r="X1" s="78"/>
      <c r="Y1" s="78"/>
      <c r="Z1" s="78"/>
      <c r="AB1" s="41"/>
      <c r="AC1" s="41"/>
      <c r="AD1" s="41"/>
    </row>
    <row r="2" spans="1:30" x14ac:dyDescent="0.35">
      <c r="Q2" s="217" t="s">
        <v>357</v>
      </c>
      <c r="R2" s="217" t="s">
        <v>314</v>
      </c>
      <c r="S2" s="222" t="s">
        <v>388</v>
      </c>
      <c r="T2" s="222"/>
      <c r="U2" s="222"/>
      <c r="V2" s="222"/>
      <c r="W2" s="222"/>
      <c r="X2" s="222"/>
      <c r="Y2" s="222"/>
      <c r="Z2" s="222"/>
      <c r="AA2" s="222"/>
      <c r="AB2" s="222"/>
      <c r="AC2" s="222"/>
      <c r="AD2" s="79"/>
    </row>
    <row r="3" spans="1:30" x14ac:dyDescent="0.35">
      <c r="A3" s="216" t="s">
        <v>278</v>
      </c>
      <c r="B3" s="216" t="s">
        <v>401</v>
      </c>
      <c r="C3" s="216"/>
      <c r="D3" s="216"/>
      <c r="E3" s="216"/>
      <c r="F3" s="216"/>
      <c r="G3" s="216"/>
      <c r="H3" s="216"/>
      <c r="I3" s="216"/>
      <c r="J3" s="216" t="s">
        <v>290</v>
      </c>
      <c r="K3" s="216"/>
      <c r="L3" s="216"/>
      <c r="M3" s="165" t="s">
        <v>484</v>
      </c>
      <c r="N3" s="207" t="s">
        <v>142</v>
      </c>
      <c r="O3" s="217" t="s">
        <v>402</v>
      </c>
      <c r="Q3" s="221"/>
      <c r="R3" s="221"/>
      <c r="S3" s="223" t="s">
        <v>389</v>
      </c>
      <c r="T3" s="223"/>
      <c r="U3" s="223"/>
      <c r="V3" s="223"/>
      <c r="W3" s="223"/>
      <c r="X3" s="223"/>
      <c r="Y3" s="224" t="s">
        <v>290</v>
      </c>
      <c r="Z3" s="224"/>
      <c r="AA3" s="224"/>
      <c r="AB3" s="224"/>
      <c r="AC3" s="224"/>
      <c r="AD3" s="80"/>
    </row>
    <row r="4" spans="1:30" x14ac:dyDescent="0.35">
      <c r="A4" s="216"/>
      <c r="B4" s="90">
        <v>2013</v>
      </c>
      <c r="C4" s="90">
        <v>2014</v>
      </c>
      <c r="D4" s="90">
        <v>2015</v>
      </c>
      <c r="E4" s="90">
        <v>2016</v>
      </c>
      <c r="F4" s="90">
        <v>2017</v>
      </c>
      <c r="G4" s="90">
        <v>2018</v>
      </c>
      <c r="H4" s="90">
        <v>2019</v>
      </c>
      <c r="I4" s="90">
        <v>2020</v>
      </c>
      <c r="J4" s="90">
        <v>2021</v>
      </c>
      <c r="K4" s="90">
        <v>2022</v>
      </c>
      <c r="L4" s="90">
        <v>2023</v>
      </c>
      <c r="M4" s="166">
        <v>2030</v>
      </c>
      <c r="N4" s="207"/>
      <c r="O4" s="218"/>
      <c r="Q4" s="218"/>
      <c r="R4" s="218"/>
      <c r="S4" s="86" t="s">
        <v>288</v>
      </c>
      <c r="T4" s="86" t="s">
        <v>287</v>
      </c>
      <c r="U4" s="86" t="s">
        <v>286</v>
      </c>
      <c r="V4" s="86" t="s">
        <v>285</v>
      </c>
      <c r="W4" s="86" t="s">
        <v>284</v>
      </c>
      <c r="X4" s="86" t="s">
        <v>283</v>
      </c>
      <c r="Y4" s="86" t="s">
        <v>282</v>
      </c>
      <c r="Z4" s="86" t="s">
        <v>281</v>
      </c>
      <c r="AA4" s="86" t="s">
        <v>280</v>
      </c>
      <c r="AB4" s="86" t="s">
        <v>301</v>
      </c>
      <c r="AC4" s="86" t="s">
        <v>302</v>
      </c>
      <c r="AD4" s="164">
        <v>2030</v>
      </c>
    </row>
    <row r="5" spans="1:30" x14ac:dyDescent="0.35">
      <c r="A5" s="19" t="s">
        <v>397</v>
      </c>
      <c r="B5" s="85">
        <v>22749010</v>
      </c>
      <c r="C5" s="85">
        <v>23625802</v>
      </c>
      <c r="D5" s="85">
        <v>24572126</v>
      </c>
      <c r="E5" s="85">
        <v>25371324</v>
      </c>
      <c r="F5" s="85">
        <v>26984433</v>
      </c>
      <c r="G5" s="85">
        <v>29153556</v>
      </c>
      <c r="H5" s="85">
        <v>30647222</v>
      </c>
      <c r="I5" s="85">
        <v>29510975</v>
      </c>
      <c r="J5" s="91">
        <f>I5*(1+J9)</f>
        <v>31075056.674999997</v>
      </c>
      <c r="K5" s="91">
        <f>J5*(1+K9)</f>
        <v>32659884.565424994</v>
      </c>
      <c r="L5" s="91">
        <f>K5*(1+L9)</f>
        <v>33900960.178911142</v>
      </c>
      <c r="M5" s="167">
        <f>L5*(1+M$9*(M$4-L$4))</f>
        <v>41020161.816482484</v>
      </c>
      <c r="N5" s="3" t="s">
        <v>393</v>
      </c>
      <c r="O5" s="9" t="s">
        <v>300</v>
      </c>
      <c r="P5" s="4" t="s">
        <v>411</v>
      </c>
      <c r="Q5" s="84" t="s">
        <v>278</v>
      </c>
      <c r="R5" s="84" t="s">
        <v>278</v>
      </c>
      <c r="S5" s="85">
        <f t="shared" ref="S5:AD5" si="0">B7</f>
        <v>22923701</v>
      </c>
      <c r="T5" s="85">
        <f t="shared" si="0"/>
        <v>23613907</v>
      </c>
      <c r="U5" s="85">
        <f t="shared" si="0"/>
        <v>24560878</v>
      </c>
      <c r="V5" s="85">
        <f t="shared" si="0"/>
        <v>25361173</v>
      </c>
      <c r="W5" s="85">
        <f t="shared" si="0"/>
        <v>26962896</v>
      </c>
      <c r="X5" s="85">
        <f t="shared" si="0"/>
        <v>29142539</v>
      </c>
      <c r="Y5" s="99">
        <f t="shared" si="0"/>
        <v>30635640.550218232</v>
      </c>
      <c r="Z5" s="99">
        <f t="shared" si="0"/>
        <v>29499822.932939127</v>
      </c>
      <c r="AA5" s="91">
        <f t="shared" si="0"/>
        <v>31063313.548384897</v>
      </c>
      <c r="AB5" s="91">
        <f t="shared" si="0"/>
        <v>32647542.539352525</v>
      </c>
      <c r="AC5" s="162">
        <f t="shared" si="0"/>
        <v>33888149.155847922</v>
      </c>
      <c r="AD5" s="163">
        <f t="shared" si="0"/>
        <v>41004660.478575982</v>
      </c>
    </row>
    <row r="6" spans="1:30" x14ac:dyDescent="0.35">
      <c r="A6" s="19" t="s">
        <v>398</v>
      </c>
      <c r="B6" s="85">
        <v>22749010</v>
      </c>
      <c r="C6" s="85">
        <v>23625802</v>
      </c>
      <c r="D6" s="85">
        <v>24572126</v>
      </c>
      <c r="E6" s="85">
        <v>25371324</v>
      </c>
      <c r="F6" s="85">
        <v>26984433</v>
      </c>
      <c r="G6" s="85">
        <v>29153556</v>
      </c>
      <c r="H6" s="85">
        <v>30647222</v>
      </c>
      <c r="I6" s="85">
        <v>29510975</v>
      </c>
      <c r="J6" s="91">
        <f>I6*(1+J9)</f>
        <v>31075056.674999997</v>
      </c>
      <c r="K6" s="91">
        <f>J6*(1+K9)</f>
        <v>32659884.565424994</v>
      </c>
      <c r="L6" s="91">
        <f>K6*(1+L9)</f>
        <v>33900960.178911142</v>
      </c>
      <c r="M6" s="167">
        <f t="shared" ref="M6:M7" si="1">L6*(1+M$9*(M$4-L$4))</f>
        <v>41020161.816482484</v>
      </c>
      <c r="N6" s="3" t="s">
        <v>394</v>
      </c>
      <c r="O6" s="9" t="s">
        <v>298</v>
      </c>
      <c r="P6" s="4" t="s">
        <v>411</v>
      </c>
      <c r="Q6" s="3" t="s">
        <v>1</v>
      </c>
      <c r="R6" s="3" t="s">
        <v>291</v>
      </c>
      <c r="S6" s="85">
        <f>VLOOKUP($Q6,$A$20:$L$28,2,FALSE)</f>
        <v>12285806</v>
      </c>
      <c r="T6" s="85">
        <f>VLOOKUP($Q6,$A$20:$L$28,3,FALSE)</f>
        <v>12731959</v>
      </c>
      <c r="U6" s="85">
        <f>VLOOKUP($Q6,$A$20:$L$28,4,FALSE)</f>
        <v>13359444</v>
      </c>
      <c r="V6" s="85">
        <f>VLOOKUP($Q6,$A$20:$L$28,5,FALSE)</f>
        <v>13761872</v>
      </c>
      <c r="W6" s="85">
        <f>VLOOKUP($Q6,$A$20:$L$28,6,FALSE)</f>
        <v>14483156</v>
      </c>
      <c r="X6" s="85">
        <f>VLOOKUP($Q6,$A$20:$L$28,7,FALSE)</f>
        <v>16395470</v>
      </c>
      <c r="Y6" s="91">
        <f>VLOOKUP($Q6,$A$20:$L$28,8,FALSE)</f>
        <v>17235482.658936702</v>
      </c>
      <c r="Z6" s="91">
        <f>VLOOKUP($Q6,$A$20:$L$28,9,FALSE)</f>
        <v>16596476.439555094</v>
      </c>
      <c r="AA6" s="91">
        <f>VLOOKUP($Q6,$A$20:$L$28,10,FALSE)</f>
        <v>17476089.690851513</v>
      </c>
      <c r="AB6" s="91">
        <f>VLOOKUP($Q6,$A$20:$L$28,11,FALSE)</f>
        <v>18367370.265084941</v>
      </c>
      <c r="AC6" s="162">
        <f>VLOOKUP($Q6,$A$20:$L$28,12,FALSE)</f>
        <v>19065330.335158169</v>
      </c>
      <c r="AD6" s="163">
        <f>VLOOKUP($Q6,$A$20:$M$28,13,FALSE)</f>
        <v>23069049.705541383</v>
      </c>
    </row>
    <row r="7" spans="1:30" x14ac:dyDescent="0.35">
      <c r="A7" s="19" t="s">
        <v>399</v>
      </c>
      <c r="B7" s="85">
        <v>22923701</v>
      </c>
      <c r="C7" s="85">
        <v>23613907</v>
      </c>
      <c r="D7" s="85">
        <v>24560878</v>
      </c>
      <c r="E7" s="85">
        <v>25361173</v>
      </c>
      <c r="F7" s="85">
        <v>26962896</v>
      </c>
      <c r="G7" s="85">
        <v>29142539</v>
      </c>
      <c r="H7" s="85">
        <v>30635640.550218232</v>
      </c>
      <c r="I7" s="85">
        <v>29499822.932939127</v>
      </c>
      <c r="J7" s="91">
        <f>I7*(1+J9)</f>
        <v>31063313.548384897</v>
      </c>
      <c r="K7" s="91">
        <f>J7*(1+K9)</f>
        <v>32647542.539352525</v>
      </c>
      <c r="L7" s="91">
        <f>K7*(1+L9)</f>
        <v>33888149.155847922</v>
      </c>
      <c r="M7" s="167">
        <f t="shared" si="1"/>
        <v>41004660.478575982</v>
      </c>
      <c r="N7" s="3" t="s">
        <v>395</v>
      </c>
      <c r="O7" s="87" t="s">
        <v>297</v>
      </c>
      <c r="P7" s="4" t="s">
        <v>411</v>
      </c>
      <c r="Q7" s="3" t="s">
        <v>14</v>
      </c>
      <c r="R7" s="3" t="s">
        <v>292</v>
      </c>
      <c r="S7" s="85">
        <f>VLOOKUP($Q7,Iedz_sk!$B$14:$R$123,3,FALSE)*B$61</f>
        <v>50947.991324106588</v>
      </c>
      <c r="T7" s="85">
        <f>VLOOKUP($Q7,Iedz_sk!$B$14:$R$123,4,FALSE)*C$61</f>
        <v>49224.918282443708</v>
      </c>
      <c r="U7" s="85">
        <f>VLOOKUP($Q7,Iedz_sk!$B$14:$R$123,5,FALSE)*D$61</f>
        <v>51334.07031635756</v>
      </c>
      <c r="V7" s="85">
        <f>VLOOKUP($Q7,Iedz_sk!$B$14:$R$123,6,FALSE)*E$61</f>
        <v>53963.282613150877</v>
      </c>
      <c r="W7" s="85">
        <f>VLOOKUP($Q7,Iedz_sk!$B$14:$R$123,7,FALSE)*F$61</f>
        <v>58910.566796692248</v>
      </c>
      <c r="X7" s="85">
        <f>VLOOKUP($Q7,Iedz_sk!$B$14:$R$123,8,FALSE)*G$61</f>
        <v>58846.940944646798</v>
      </c>
      <c r="Y7" s="91">
        <f>VLOOKUP($Q7,Iedz_sk!$B$14:$R$123,9,FALSE)*H$61</f>
        <v>60615.985102516795</v>
      </c>
      <c r="Z7" s="91">
        <f>VLOOKUP($Q7,Iedz_sk!$B$14:$R$123,10,FALSE)*I$61</f>
        <v>57549.264056470049</v>
      </c>
      <c r="AA7" s="91">
        <f>VLOOKUP($Q7,Iedz_sk!$B$14:$R$123,11,FALSE)*J$61</f>
        <v>58638.501655615051</v>
      </c>
      <c r="AB7" s="91">
        <f>VLOOKUP($Q7,Iedz_sk!$B$14:$R$123,16,FALSE)*K$61</f>
        <v>60616.181628571212</v>
      </c>
      <c r="AC7" s="162">
        <f>VLOOKUP($Q7,Iedz_sk!$B$14:$R$123,17,FALSE)*L$61</f>
        <v>61875.937753305872</v>
      </c>
      <c r="AD7" s="163">
        <f>VLOOKUP($Q7,Iedz_sk!$B$14:$Y$123,24,FALSE)*M$61</f>
        <v>65720.129079877763</v>
      </c>
    </row>
    <row r="8" spans="1:30" x14ac:dyDescent="0.35">
      <c r="A8" s="19" t="s">
        <v>400</v>
      </c>
      <c r="B8" s="85">
        <v>11302</v>
      </c>
      <c r="C8" s="85">
        <v>11847</v>
      </c>
      <c r="D8" s="85">
        <v>12427</v>
      </c>
      <c r="E8" s="85">
        <v>12949</v>
      </c>
      <c r="F8" s="85">
        <v>13901</v>
      </c>
      <c r="G8" s="85">
        <v>15135</v>
      </c>
      <c r="H8" s="85">
        <v>16019</v>
      </c>
      <c r="I8" s="85">
        <v>15525</v>
      </c>
      <c r="J8" s="91">
        <f>J5/J10*1000</f>
        <v>16413.838557317333</v>
      </c>
      <c r="K8" s="91">
        <f>K5/K10*1000</f>
        <v>17405.386290851638</v>
      </c>
      <c r="L8" s="91">
        <f>L5/L10*1000</f>
        <v>18230.007882728522</v>
      </c>
      <c r="M8" s="167">
        <f>M5/M10*1000</f>
        <v>23547.360786670753</v>
      </c>
      <c r="N8" s="3" t="s">
        <v>396</v>
      </c>
      <c r="O8" s="9" t="s">
        <v>299</v>
      </c>
      <c r="P8" s="4" t="s">
        <v>411</v>
      </c>
      <c r="Q8" s="3" t="s">
        <v>20</v>
      </c>
      <c r="R8" s="3" t="s">
        <v>292</v>
      </c>
      <c r="S8" s="85">
        <f>VLOOKUP($Q8,Iedz_sk!$B$14:$R$123,3,FALSE)*B$61</f>
        <v>98935.372030572194</v>
      </c>
      <c r="T8" s="85">
        <f>VLOOKUP($Q8,Iedz_sk!$B$14:$R$123,4,FALSE)*C$61</f>
        <v>99049.668509366878</v>
      </c>
      <c r="U8" s="85">
        <f>VLOOKUP($Q8,Iedz_sk!$B$14:$R$123,5,FALSE)*D$61</f>
        <v>106918.60165490954</v>
      </c>
      <c r="V8" s="85">
        <f>VLOOKUP($Q8,Iedz_sk!$B$14:$R$123,6,FALSE)*E$61</f>
        <v>116160.68443869909</v>
      </c>
      <c r="W8" s="85">
        <f>VLOOKUP($Q8,Iedz_sk!$B$14:$R$123,7,FALSE)*F$61</f>
        <v>132164.04066091773</v>
      </c>
      <c r="X8" s="85">
        <f>VLOOKUP($Q8,Iedz_sk!$B$14:$R$123,8,FALSE)*G$61</f>
        <v>140629.09989848928</v>
      </c>
      <c r="Y8" s="91">
        <f>VLOOKUP($Q8,Iedz_sk!$B$14:$R$123,9,FALSE)*H$61</f>
        <v>149131.03375869736</v>
      </c>
      <c r="Z8" s="91">
        <f>VLOOKUP($Q8,Iedz_sk!$B$14:$R$123,10,FALSE)*I$61</f>
        <v>143755.00193747153</v>
      </c>
      <c r="AA8" s="91">
        <f>VLOOKUP($Q8,Iedz_sk!$B$14:$R$123,11,FALSE)*J$61</f>
        <v>153394.16893274165</v>
      </c>
      <c r="AB8" s="91">
        <f>VLOOKUP($Q8,Iedz_sk!$B$14:$R$123,16,FALSE)*K$61</f>
        <v>164820.75920711004</v>
      </c>
      <c r="AC8" s="162">
        <f>VLOOKUP($Q8,Iedz_sk!$B$14:$R$123,17,FALSE)*L$61</f>
        <v>174833.34586820166</v>
      </c>
      <c r="AD8" s="163">
        <f>VLOOKUP($Q8,Iedz_sk!$B$14:$Y$123,24,FALSE)*M$61</f>
        <v>244209.02427323113</v>
      </c>
    </row>
    <row r="9" spans="1:30" x14ac:dyDescent="0.35">
      <c r="A9" s="19" t="s">
        <v>303</v>
      </c>
      <c r="B9" s="93">
        <v>0</v>
      </c>
      <c r="C9" s="34">
        <f t="shared" ref="C9:I9" si="2">(C5-B5)/B5</f>
        <v>3.8541984903958458E-2</v>
      </c>
      <c r="D9" s="34">
        <f t="shared" si="2"/>
        <v>4.0054682588129706E-2</v>
      </c>
      <c r="E9" s="34">
        <f t="shared" si="2"/>
        <v>3.2524576831487843E-2</v>
      </c>
      <c r="F9" s="34">
        <f t="shared" si="2"/>
        <v>6.3580008674360075E-2</v>
      </c>
      <c r="G9" s="34">
        <f t="shared" si="2"/>
        <v>8.0384234866080012E-2</v>
      </c>
      <c r="H9" s="34">
        <f t="shared" si="2"/>
        <v>5.1234436032434605E-2</v>
      </c>
      <c r="I9" s="34">
        <f t="shared" si="2"/>
        <v>-3.7075040602374987E-2</v>
      </c>
      <c r="J9" s="3">
        <v>5.2999999999999999E-2</v>
      </c>
      <c r="K9" s="3">
        <v>5.0999999999999997E-2</v>
      </c>
      <c r="L9" s="3">
        <v>3.7999999999999999E-2</v>
      </c>
      <c r="M9" s="18">
        <f>0.03</f>
        <v>0.03</v>
      </c>
      <c r="N9" s="11" t="s">
        <v>304</v>
      </c>
      <c r="O9" s="88" t="s">
        <v>392</v>
      </c>
      <c r="P9" s="4" t="s">
        <v>411</v>
      </c>
      <c r="Q9" s="3" t="s">
        <v>21</v>
      </c>
      <c r="R9" s="3" t="s">
        <v>292</v>
      </c>
      <c r="S9" s="85">
        <f>VLOOKUP($Q9,Iedz_sk!$B$14:$R$123,3,FALSE)*B$61</f>
        <v>93278.841148523032</v>
      </c>
      <c r="T9" s="85">
        <f>VLOOKUP($Q9,Iedz_sk!$B$14:$R$123,4,FALSE)*C$61</f>
        <v>93167.445569955365</v>
      </c>
      <c r="U9" s="85">
        <f>VLOOKUP($Q9,Iedz_sk!$B$14:$R$123,5,FALSE)*D$61</f>
        <v>100614.77782006083</v>
      </c>
      <c r="V9" s="85">
        <f>VLOOKUP($Q9,Iedz_sk!$B$14:$R$123,6,FALSE)*E$61</f>
        <v>108445.33681206942</v>
      </c>
      <c r="W9" s="85">
        <f>VLOOKUP($Q9,Iedz_sk!$B$14:$R$123,7,FALSE)*F$61</f>
        <v>124580.15160203321</v>
      </c>
      <c r="X9" s="85">
        <f>VLOOKUP($Q9,Iedz_sk!$B$14:$R$123,8,FALSE)*G$61</f>
        <v>130142.27324296888</v>
      </c>
      <c r="Y9" s="91">
        <f>VLOOKUP($Q9,Iedz_sk!$B$14:$R$123,9,FALSE)*H$61</f>
        <v>140136.82603398268</v>
      </c>
      <c r="Z9" s="91">
        <f>VLOOKUP($Q9,Iedz_sk!$B$14:$R$123,10,FALSE)*I$61</f>
        <v>136566.00807003267</v>
      </c>
      <c r="AA9" s="91">
        <f>VLOOKUP($Q9,Iedz_sk!$B$14:$R$123,11,FALSE)*J$61</f>
        <v>145908.67878776602</v>
      </c>
      <c r="AB9" s="91">
        <f>VLOOKUP($Q9,Iedz_sk!$B$14:$R$123,16,FALSE)*K$61</f>
        <v>155260.58074177356</v>
      </c>
      <c r="AC9" s="162">
        <f>VLOOKUP($Q9,Iedz_sk!$B$14:$R$123,17,FALSE)*L$61</f>
        <v>163155.95370302079</v>
      </c>
      <c r="AD9" s="163">
        <f>VLOOKUP($Q9,Iedz_sk!$B$14:$Y$123,24,FALSE)*M$61</f>
        <v>214757.38776249523</v>
      </c>
    </row>
    <row r="10" spans="1:30" x14ac:dyDescent="0.35">
      <c r="A10" s="19" t="s">
        <v>391</v>
      </c>
      <c r="B10" s="89">
        <f>Iedz_sk!D4</f>
        <v>2023825</v>
      </c>
      <c r="C10" s="89">
        <f>Iedz_sk!E4</f>
        <v>2001468</v>
      </c>
      <c r="D10" s="89">
        <f>Iedz_sk!F4</f>
        <v>1986096</v>
      </c>
      <c r="E10" s="89">
        <f>Iedz_sk!G4</f>
        <v>1968957</v>
      </c>
      <c r="F10" s="89">
        <f>Iedz_sk!H4</f>
        <v>1950116</v>
      </c>
      <c r="G10" s="89">
        <f>Iedz_sk!I4</f>
        <v>1934379</v>
      </c>
      <c r="H10" s="89">
        <f>Iedz_sk!J4</f>
        <v>1919968</v>
      </c>
      <c r="I10" s="89">
        <f>Iedz_sk!K4</f>
        <v>1907675</v>
      </c>
      <c r="J10" s="92">
        <f>Iedz_sk!L4</f>
        <v>1893223</v>
      </c>
      <c r="K10" s="92">
        <f>Iedz_sk!Q4</f>
        <v>1876424</v>
      </c>
      <c r="L10" s="92">
        <f>Iedz_sk!R4</f>
        <v>1859624</v>
      </c>
      <c r="M10" s="168">
        <f>Iedz_sk!Y4</f>
        <v>1742028</v>
      </c>
      <c r="N10" s="3" t="s">
        <v>403</v>
      </c>
      <c r="O10" s="9" t="s">
        <v>120</v>
      </c>
      <c r="P10" s="81" t="s">
        <v>411</v>
      </c>
      <c r="Q10" s="3" t="s">
        <v>22</v>
      </c>
      <c r="R10" s="3" t="s">
        <v>292</v>
      </c>
      <c r="S10" s="85">
        <f>VLOOKUP($Q10,Iedz_sk!$B$14:$R$123,3,FALSE)*B$61</f>
        <v>53653.714934930795</v>
      </c>
      <c r="T10" s="85">
        <f>VLOOKUP($Q10,Iedz_sk!$B$14:$R$123,4,FALSE)*C$61</f>
        <v>52243.427422404879</v>
      </c>
      <c r="U10" s="85">
        <f>VLOOKUP($Q10,Iedz_sk!$B$14:$R$123,5,FALSE)*D$61</f>
        <v>55800.134433880674</v>
      </c>
      <c r="V10" s="85">
        <f>VLOOKUP($Q10,Iedz_sk!$B$14:$R$123,6,FALSE)*E$61</f>
        <v>59780.146989737201</v>
      </c>
      <c r="W10" s="85">
        <f>VLOOKUP($Q10,Iedz_sk!$B$14:$R$123,7,FALSE)*F$61</f>
        <v>66149.733625627472</v>
      </c>
      <c r="X10" s="85">
        <f>VLOOKUP($Q10,Iedz_sk!$B$14:$R$123,8,FALSE)*G$61</f>
        <v>68969.117752433274</v>
      </c>
      <c r="Y10" s="91">
        <f>VLOOKUP($Q10,Iedz_sk!$B$14:$R$123,9,FALSE)*H$61</f>
        <v>71587.085645909683</v>
      </c>
      <c r="Z10" s="91">
        <f>VLOOKUP($Q10,Iedz_sk!$B$14:$R$123,10,FALSE)*I$61</f>
        <v>66790.479356655327</v>
      </c>
      <c r="AA10" s="91">
        <f>VLOOKUP($Q10,Iedz_sk!$B$14:$R$123,11,FALSE)*J$61</f>
        <v>70651.610623114946</v>
      </c>
      <c r="AB10" s="91">
        <f>VLOOKUP($Q10,Iedz_sk!$B$14:$R$123,16,FALSE)*K$61</f>
        <v>74826.518431839606</v>
      </c>
      <c r="AC10" s="162">
        <f>VLOOKUP($Q10,Iedz_sk!$B$14:$R$123,17,FALSE)*L$61</f>
        <v>78267.008951017051</v>
      </c>
      <c r="AD10" s="163">
        <f>VLOOKUP($Q10,Iedz_sk!$B$14:$Y$123,24,FALSE)*M$61</f>
        <v>99927.711677873638</v>
      </c>
    </row>
    <row r="11" spans="1:30" x14ac:dyDescent="0.35">
      <c r="Q11" s="3" t="s">
        <v>29</v>
      </c>
      <c r="R11" s="3" t="s">
        <v>292</v>
      </c>
      <c r="S11" s="85">
        <f>VLOOKUP($Q11,Iedz_sk!$B$14:$R$123,3,FALSE)*B$61</f>
        <v>66466.688700681669</v>
      </c>
      <c r="T11" s="85">
        <f>VLOOKUP($Q11,Iedz_sk!$B$14:$R$123,4,FALSE)*C$61</f>
        <v>65671.923211719317</v>
      </c>
      <c r="U11" s="85">
        <f>VLOOKUP($Q11,Iedz_sk!$B$14:$R$123,5,FALSE)*D$61</f>
        <v>69865.669700562648</v>
      </c>
      <c r="V11" s="85">
        <f>VLOOKUP($Q11,Iedz_sk!$B$14:$R$123,6,FALSE)*E$61</f>
        <v>75696.500748821592</v>
      </c>
      <c r="W11" s="85">
        <f>VLOOKUP($Q11,Iedz_sk!$B$14:$R$123,7,FALSE)*F$61</f>
        <v>102604.10944276556</v>
      </c>
      <c r="X11" s="85">
        <f>VLOOKUP($Q11,Iedz_sk!$B$14:$R$123,8,FALSE)*G$61</f>
        <v>108464.46850182122</v>
      </c>
      <c r="Y11" s="91">
        <f>VLOOKUP($Q11,Iedz_sk!$B$14:$R$123,9,FALSE)*H$61</f>
        <v>114397.94337490102</v>
      </c>
      <c r="Z11" s="91">
        <f>VLOOKUP($Q11,Iedz_sk!$B$14:$R$123,10,FALSE)*I$61</f>
        <v>113307.49849890689</v>
      </c>
      <c r="AA11" s="91">
        <f>VLOOKUP($Q11,Iedz_sk!$B$14:$R$123,11,FALSE)*J$61</f>
        <v>120779.74566676462</v>
      </c>
      <c r="AB11" s="91">
        <f>VLOOKUP($Q11,Iedz_sk!$B$14:$R$123,16,FALSE)*K$61</f>
        <v>127058.73811584535</v>
      </c>
      <c r="AC11" s="162">
        <f>VLOOKUP($Q11,Iedz_sk!$B$14:$R$123,17,FALSE)*L$61</f>
        <v>131997.25363300164</v>
      </c>
      <c r="AD11" s="163">
        <f>VLOOKUP($Q11,Iedz_sk!$B$14:$Y$123,24,FALSE)*M$61</f>
        <v>160750.97774938744</v>
      </c>
    </row>
    <row r="12" spans="1:30" x14ac:dyDescent="0.35">
      <c r="A12" s="207" t="s">
        <v>407</v>
      </c>
      <c r="B12" s="216" t="s">
        <v>401</v>
      </c>
      <c r="C12" s="216"/>
      <c r="D12" s="216"/>
      <c r="E12" s="216"/>
      <c r="F12" s="216"/>
      <c r="G12" s="216"/>
      <c r="H12" s="216"/>
      <c r="I12" s="216"/>
      <c r="J12" s="216" t="s">
        <v>290</v>
      </c>
      <c r="K12" s="216"/>
      <c r="L12" s="216"/>
      <c r="M12" s="146"/>
      <c r="N12" s="207" t="s">
        <v>142</v>
      </c>
      <c r="O12" s="217" t="s">
        <v>402</v>
      </c>
      <c r="P12" s="4" t="s">
        <v>411</v>
      </c>
      <c r="Q12" s="3" t="s">
        <v>38</v>
      </c>
      <c r="R12" s="3" t="s">
        <v>292</v>
      </c>
      <c r="S12" s="85">
        <f>VLOOKUP($Q12,Iedz_sk!$B$14:$R$123,3,FALSE)*B$61</f>
        <v>72838.863871101014</v>
      </c>
      <c r="T12" s="85">
        <f>VLOOKUP($Q12,Iedz_sk!$B$14:$R$123,4,FALSE)*C$61</f>
        <v>70828.542992486327</v>
      </c>
      <c r="U12" s="85">
        <f>VLOOKUP($Q12,Iedz_sk!$B$14:$R$123,5,FALSE)*D$61</f>
        <v>73962.128511807983</v>
      </c>
      <c r="V12" s="85">
        <f>VLOOKUP($Q12,Iedz_sk!$B$14:$R$123,6,FALSE)*E$61</f>
        <v>80453.746567244176</v>
      </c>
      <c r="W12" s="85">
        <f>VLOOKUP($Q12,Iedz_sk!$B$14:$R$123,7,FALSE)*F$61</f>
        <v>88950.64683513093</v>
      </c>
      <c r="X12" s="85">
        <f>VLOOKUP($Q12,Iedz_sk!$B$14:$R$123,8,FALSE)*G$61</f>
        <v>89024.859377799003</v>
      </c>
      <c r="Y12" s="91">
        <f>VLOOKUP($Q12,Iedz_sk!$B$14:$R$123,9,FALSE)*H$61</f>
        <v>92351.006244741569</v>
      </c>
      <c r="Z12" s="91">
        <f>VLOOKUP($Q12,Iedz_sk!$B$14:$R$123,10,FALSE)*I$61</f>
        <v>89787.79710906792</v>
      </c>
      <c r="AA12" s="91">
        <f>VLOOKUP($Q12,Iedz_sk!$B$14:$R$123,11,FALSE)*J$61</f>
        <v>92718.887462982471</v>
      </c>
      <c r="AB12" s="91">
        <f>VLOOKUP($Q12,Iedz_sk!$B$14:$R$123,16,FALSE)*K$61</f>
        <v>96449.754703222963</v>
      </c>
      <c r="AC12" s="162">
        <f>VLOOKUP($Q12,Iedz_sk!$B$14:$R$123,17,FALSE)*L$61</f>
        <v>99058.463293900029</v>
      </c>
      <c r="AD12" s="163">
        <f>VLOOKUP($Q12,Iedz_sk!$B$14:$Y$123,24,FALSE)*M$61</f>
        <v>110760.6999877436</v>
      </c>
    </row>
    <row r="13" spans="1:30" x14ac:dyDescent="0.35">
      <c r="A13" s="207"/>
      <c r="B13" s="90">
        <v>2013</v>
      </c>
      <c r="C13" s="90">
        <v>2014</v>
      </c>
      <c r="D13" s="90">
        <v>2015</v>
      </c>
      <c r="E13" s="90">
        <v>2016</v>
      </c>
      <c r="F13" s="90">
        <v>2017</v>
      </c>
      <c r="G13" s="90">
        <v>2018</v>
      </c>
      <c r="H13" s="90">
        <v>2019</v>
      </c>
      <c r="I13" s="90">
        <v>2020</v>
      </c>
      <c r="J13" s="90">
        <v>2021</v>
      </c>
      <c r="K13" s="90">
        <v>2022</v>
      </c>
      <c r="L13" s="90">
        <v>2023</v>
      </c>
      <c r="M13" s="166">
        <v>2030</v>
      </c>
      <c r="N13" s="207"/>
      <c r="O13" s="218"/>
      <c r="Q13" s="3" t="s">
        <v>40</v>
      </c>
      <c r="R13" s="3" t="s">
        <v>292</v>
      </c>
      <c r="S13" s="85">
        <f>VLOOKUP($Q13,Iedz_sk!$B$14:$R$123,3,FALSE)*B$61</f>
        <v>77132.729601322033</v>
      </c>
      <c r="T13" s="85">
        <f>VLOOKUP($Q13,Iedz_sk!$B$14:$R$123,4,FALSE)*C$61</f>
        <v>75627.198548322034</v>
      </c>
      <c r="U13" s="85">
        <f>VLOOKUP($Q13,Iedz_sk!$B$14:$R$123,5,FALSE)*D$61</f>
        <v>80676.624909187551</v>
      </c>
      <c r="V13" s="85">
        <f>VLOOKUP($Q13,Iedz_sk!$B$14:$R$123,6,FALSE)*E$61</f>
        <v>87683.435688048805</v>
      </c>
      <c r="W13" s="85">
        <f>VLOOKUP($Q13,Iedz_sk!$B$14:$R$123,7,FALSE)*F$61</f>
        <v>99981.758193508416</v>
      </c>
      <c r="X13" s="85">
        <f>VLOOKUP($Q13,Iedz_sk!$B$14:$R$123,8,FALSE)*G$61</f>
        <v>104918.56308592584</v>
      </c>
      <c r="Y13" s="91">
        <f>VLOOKUP($Q13,Iedz_sk!$B$14:$R$123,9,FALSE)*H$61</f>
        <v>112028.29039357153</v>
      </c>
      <c r="Z13" s="91">
        <f>VLOOKUP($Q13,Iedz_sk!$B$14:$R$123,10,FALSE)*I$61</f>
        <v>112076.16563925905</v>
      </c>
      <c r="AA13" s="91">
        <f>VLOOKUP($Q13,Iedz_sk!$B$14:$R$123,11,FALSE)*J$61</f>
        <v>122271.65444782563</v>
      </c>
      <c r="AB13" s="91">
        <f>VLOOKUP($Q13,Iedz_sk!$B$14:$R$123,16,FALSE)*K$61</f>
        <v>129506.90971140361</v>
      </c>
      <c r="AC13" s="162">
        <f>VLOOKUP($Q13,Iedz_sk!$B$14:$R$123,17,FALSE)*L$61</f>
        <v>135457.74911609793</v>
      </c>
      <c r="AD13" s="163">
        <f>VLOOKUP($Q13,Iedz_sk!$B$14:$Y$123,24,FALSE)*M$61</f>
        <v>172922.67680974538</v>
      </c>
    </row>
    <row r="14" spans="1:30" x14ac:dyDescent="0.35">
      <c r="A14" s="215" t="s">
        <v>312</v>
      </c>
      <c r="B14" s="215"/>
      <c r="C14" s="215"/>
      <c r="D14" s="215"/>
      <c r="E14" s="215"/>
      <c r="F14" s="215"/>
      <c r="G14" s="215"/>
      <c r="H14" s="215"/>
      <c r="I14" s="215"/>
      <c r="J14" s="215"/>
      <c r="K14" s="215"/>
      <c r="L14" s="215"/>
      <c r="M14" s="215"/>
      <c r="N14" s="215"/>
      <c r="O14" s="215"/>
      <c r="Q14" s="3" t="s">
        <v>44</v>
      </c>
      <c r="R14" s="3" t="s">
        <v>292</v>
      </c>
      <c r="S14" s="85">
        <f>VLOOKUP($Q14,Iedz_sk!$B$14:$R$123,3,FALSE)*B$61</f>
        <v>87975.23073745094</v>
      </c>
      <c r="T14" s="85">
        <f>VLOOKUP($Q14,Iedz_sk!$B$14:$R$123,4,FALSE)*C$61</f>
        <v>88755.778365396734</v>
      </c>
      <c r="U14" s="85">
        <f>VLOOKUP($Q14,Iedz_sk!$B$14:$R$123,5,FALSE)*D$61</f>
        <v>95625.106185310869</v>
      </c>
      <c r="V14" s="85">
        <f>VLOOKUP($Q14,Iedz_sk!$B$14:$R$123,6,FALSE)*E$61</f>
        <v>103412.14866079169</v>
      </c>
      <c r="W14" s="85">
        <f>VLOOKUP($Q14,Iedz_sk!$B$14:$R$123,7,FALSE)*F$61</f>
        <v>115789.73473832615</v>
      </c>
      <c r="X14" s="85">
        <f>VLOOKUP($Q14,Iedz_sk!$B$14:$R$123,8,FALSE)*G$61</f>
        <v>121252.36143786946</v>
      </c>
      <c r="Y14" s="91">
        <f>VLOOKUP($Q14,Iedz_sk!$B$14:$R$123,9,FALSE)*H$61</f>
        <v>127097.18863395961</v>
      </c>
      <c r="Z14" s="91">
        <f>VLOOKUP($Q14,Iedz_sk!$B$14:$R$123,10,FALSE)*I$61</f>
        <v>121516.38422989246</v>
      </c>
      <c r="AA14" s="91">
        <f>VLOOKUP($Q14,Iedz_sk!$B$14:$R$123,11,FALSE)*J$61</f>
        <v>129303.08539856531</v>
      </c>
      <c r="AB14" s="91">
        <f>VLOOKUP($Q14,Iedz_sk!$B$14:$R$123,16,FALSE)*K$61</f>
        <v>137781.4561656648</v>
      </c>
      <c r="AC14" s="162">
        <f>VLOOKUP($Q14,Iedz_sk!$B$14:$R$123,17,FALSE)*L$61</f>
        <v>144984.79223622716</v>
      </c>
      <c r="AD14" s="163">
        <f>VLOOKUP($Q14,Iedz_sk!$B$14:$Y$123,24,FALSE)*M$61</f>
        <v>192527.7434583393</v>
      </c>
    </row>
    <row r="15" spans="1:30" ht="14.4" customHeight="1" x14ac:dyDescent="0.35">
      <c r="A15" s="7" t="s">
        <v>307</v>
      </c>
      <c r="B15" s="89">
        <v>3447145</v>
      </c>
      <c r="C15" s="89">
        <v>3420851</v>
      </c>
      <c r="D15" s="89">
        <v>3619067</v>
      </c>
      <c r="E15" s="89">
        <v>3845298</v>
      </c>
      <c r="F15" s="89">
        <v>4307947</v>
      </c>
      <c r="G15" s="89">
        <v>4422346</v>
      </c>
      <c r="H15" s="3"/>
      <c r="I15" s="3"/>
      <c r="J15" s="3"/>
      <c r="K15" s="3"/>
      <c r="L15" s="3"/>
      <c r="M15" s="3"/>
      <c r="N15" s="220" t="s">
        <v>395</v>
      </c>
      <c r="O15" s="219" t="s">
        <v>297</v>
      </c>
      <c r="Q15" s="3" t="s">
        <v>46</v>
      </c>
      <c r="R15" s="3" t="s">
        <v>292</v>
      </c>
      <c r="S15" s="85">
        <f>VLOOKUP($Q15,Iedz_sk!$B$14:$R$123,3,FALSE)*B$61</f>
        <v>77015.089444329686</v>
      </c>
      <c r="T15" s="85">
        <f>VLOOKUP($Q15,Iedz_sk!$B$14:$R$123,4,FALSE)*C$61</f>
        <v>74959.643642369076</v>
      </c>
      <c r="U15" s="85">
        <f>VLOOKUP($Q15,Iedz_sk!$B$14:$R$123,5,FALSE)*D$61</f>
        <v>79249.537754392804</v>
      </c>
      <c r="V15" s="85">
        <f>VLOOKUP($Q15,Iedz_sk!$B$14:$R$123,6,FALSE)*E$61</f>
        <v>84758.446959784327</v>
      </c>
      <c r="W15" s="85">
        <f>VLOOKUP($Q15,Iedz_sk!$B$14:$R$123,7,FALSE)*F$61</f>
        <v>93542.839398384065</v>
      </c>
      <c r="X15" s="85">
        <f>VLOOKUP($Q15,Iedz_sk!$B$14:$R$123,8,FALSE)*G$61</f>
        <v>95035.294799068492</v>
      </c>
      <c r="Y15" s="91">
        <f>VLOOKUP($Q15,Iedz_sk!$B$14:$R$123,9,FALSE)*H$61</f>
        <v>100022.92142186356</v>
      </c>
      <c r="Z15" s="91">
        <f>VLOOKUP($Q15,Iedz_sk!$B$14:$R$123,10,FALSE)*I$61</f>
        <v>94265.371144150966</v>
      </c>
      <c r="AA15" s="91">
        <f>VLOOKUP($Q15,Iedz_sk!$B$14:$R$123,11,FALSE)*J$61</f>
        <v>98881.119384756166</v>
      </c>
      <c r="AB15" s="91">
        <f>VLOOKUP($Q15,Iedz_sk!$B$14:$R$123,16,FALSE)*K$61</f>
        <v>103233.51510208833</v>
      </c>
      <c r="AC15" s="162">
        <f>VLOOKUP($Q15,Iedz_sk!$B$14:$R$123,17,FALSE)*L$61</f>
        <v>106435.1573689777</v>
      </c>
      <c r="AD15" s="163">
        <f>VLOOKUP($Q15,Iedz_sk!$B$14:$Y$123,24,FALSE)*M$61</f>
        <v>122544.87751506557</v>
      </c>
    </row>
    <row r="16" spans="1:30" x14ac:dyDescent="0.35">
      <c r="A16" s="7" t="s">
        <v>308</v>
      </c>
      <c r="B16" s="89">
        <v>1417024</v>
      </c>
      <c r="C16" s="89">
        <v>1591971</v>
      </c>
      <c r="D16" s="89">
        <v>1597092</v>
      </c>
      <c r="E16" s="89">
        <v>1642910</v>
      </c>
      <c r="F16" s="89">
        <v>1709276</v>
      </c>
      <c r="G16" s="89">
        <v>1811796</v>
      </c>
      <c r="H16" s="3"/>
      <c r="I16" s="3"/>
      <c r="J16" s="3"/>
      <c r="K16" s="3"/>
      <c r="L16" s="3"/>
      <c r="M16" s="3"/>
      <c r="N16" s="220"/>
      <c r="O16" s="219"/>
      <c r="Q16" s="3" t="s">
        <v>49</v>
      </c>
      <c r="R16" s="3" t="s">
        <v>292</v>
      </c>
      <c r="S16" s="85">
        <f>VLOOKUP($Q16,Iedz_sk!$B$14:$R$123,3,FALSE)*B$61</f>
        <v>24126.035529849203</v>
      </c>
      <c r="T16" s="85">
        <f>VLOOKUP($Q16,Iedz_sk!$B$14:$R$123,4,FALSE)*C$61</f>
        <v>23644.988263029172</v>
      </c>
      <c r="U16" s="85">
        <f>VLOOKUP($Q16,Iedz_sk!$B$14:$R$123,5,FALSE)*D$61</f>
        <v>24701.954636231258</v>
      </c>
      <c r="V16" s="85">
        <f>VLOOKUP($Q16,Iedz_sk!$B$14:$R$123,6,FALSE)*E$61</f>
        <v>25806.126968612549</v>
      </c>
      <c r="W16" s="85">
        <f>VLOOKUP($Q16,Iedz_sk!$B$14:$R$123,7,FALSE)*F$61</f>
        <v>28070.238724442701</v>
      </c>
      <c r="X16" s="85">
        <f>VLOOKUP($Q16,Iedz_sk!$B$14:$R$123,8,FALSE)*G$61</f>
        <v>28153.48307159491</v>
      </c>
      <c r="Y16" s="91">
        <f>VLOOKUP($Q16,Iedz_sk!$B$14:$R$123,9,FALSE)*H$61</f>
        <v>28514.387808484142</v>
      </c>
      <c r="Z16" s="91">
        <f>VLOOKUP($Q16,Iedz_sk!$B$14:$R$123,10,FALSE)*I$61</f>
        <v>27338.077025312548</v>
      </c>
      <c r="AA16" s="91">
        <f>VLOOKUP($Q16,Iedz_sk!$B$14:$R$123,11,FALSE)*J$61</f>
        <v>28385.186199664982</v>
      </c>
      <c r="AB16" s="91">
        <f>VLOOKUP($Q16,Iedz_sk!$B$14:$R$123,16,FALSE)*K$61</f>
        <v>29514.828509579576</v>
      </c>
      <c r="AC16" s="162">
        <f>VLOOKUP($Q16,Iedz_sk!$B$14:$R$123,17,FALSE)*L$61</f>
        <v>30304.256740859586</v>
      </c>
      <c r="AD16" s="163">
        <f>VLOOKUP($Q16,Iedz_sk!$B$14:$Y$123,24,FALSE)*M$61</f>
        <v>33784.831834683879</v>
      </c>
    </row>
    <row r="17" spans="1:30" x14ac:dyDescent="0.35">
      <c r="A17" s="7" t="s">
        <v>309</v>
      </c>
      <c r="B17" s="89">
        <v>2261443</v>
      </c>
      <c r="C17" s="89">
        <v>2254035</v>
      </c>
      <c r="D17" s="89">
        <v>2297411</v>
      </c>
      <c r="E17" s="89">
        <v>2375405</v>
      </c>
      <c r="F17" s="89">
        <v>2519158</v>
      </c>
      <c r="G17" s="89">
        <v>2578180</v>
      </c>
      <c r="H17" s="3"/>
      <c r="I17" s="3"/>
      <c r="J17" s="3"/>
      <c r="K17" s="3"/>
      <c r="L17" s="3"/>
      <c r="M17" s="3"/>
      <c r="N17" s="220"/>
      <c r="O17" s="219"/>
      <c r="Q17" s="3" t="s">
        <v>4</v>
      </c>
      <c r="R17" s="3" t="s">
        <v>292</v>
      </c>
      <c r="S17" s="85">
        <f>VLOOKUP($Q17,$A$20:$L$28,2,FALSE)</f>
        <v>314917</v>
      </c>
      <c r="T17" s="85">
        <f>VLOOKUP($Q17,$A$20:$L$28,3,FALSE)</f>
        <v>351182</v>
      </c>
      <c r="U17" s="85">
        <f>VLOOKUP($Q17,$A$20:$L$28,4,FALSE)</f>
        <v>354600</v>
      </c>
      <c r="V17" s="85">
        <f>VLOOKUP($Q17,$A$20:$L$28,5,FALSE)</f>
        <v>344528</v>
      </c>
      <c r="W17" s="85">
        <f>VLOOKUP($Q17,$A$20:$L$28,6,FALSE)</f>
        <v>413226</v>
      </c>
      <c r="X17" s="85">
        <f>VLOOKUP($Q17,$A$20:$L$28,7,FALSE)</f>
        <v>421345</v>
      </c>
      <c r="Y17" s="91">
        <f>VLOOKUP($Q17,$A$20:$L$28,8,FALSE)</f>
        <v>442932.37345008616</v>
      </c>
      <c r="Z17" s="91">
        <f>VLOOKUP($Q17,$A$20:$L$28,9,FALSE)</f>
        <v>426510.63772031787</v>
      </c>
      <c r="AA17" s="91">
        <f>VLOOKUP($Q17,$A$20:$L$28,10,FALSE)</f>
        <v>449115.7015194947</v>
      </c>
      <c r="AB17" s="91">
        <f>VLOOKUP($Q17,$A$20:$L$28,11,FALSE)</f>
        <v>472020.60229698889</v>
      </c>
      <c r="AC17" s="162">
        <f>VLOOKUP($Q17,$A$20:$L$28,12,FALSE)</f>
        <v>489957.38518427446</v>
      </c>
      <c r="AD17" s="163">
        <f>VLOOKUP($Q17,$A$20:$M$28,13,FALSE)</f>
        <v>592848.43607297214</v>
      </c>
    </row>
    <row r="18" spans="1:30" x14ac:dyDescent="0.35">
      <c r="A18" s="7" t="s">
        <v>310</v>
      </c>
      <c r="B18" s="89">
        <v>1736371</v>
      </c>
      <c r="C18" s="89">
        <v>1827321</v>
      </c>
      <c r="D18" s="89">
        <v>1875715</v>
      </c>
      <c r="E18" s="89">
        <v>1917874</v>
      </c>
      <c r="F18" s="89">
        <v>1990557</v>
      </c>
      <c r="G18" s="89">
        <v>2023431</v>
      </c>
      <c r="H18" s="3"/>
      <c r="I18" s="3"/>
      <c r="J18" s="3"/>
      <c r="K18" s="3"/>
      <c r="L18" s="3"/>
      <c r="M18" s="3"/>
      <c r="N18" s="220"/>
      <c r="O18" s="219"/>
      <c r="Q18" s="3" t="s">
        <v>52</v>
      </c>
      <c r="R18" s="3" t="s">
        <v>292</v>
      </c>
      <c r="S18" s="85">
        <f>VLOOKUP($Q18,Iedz_sk!$B$14:$R$123,3,FALSE)*B$61</f>
        <v>86347.875232389997</v>
      </c>
      <c r="T18" s="85">
        <f>VLOOKUP($Q18,Iedz_sk!$B$14:$R$123,4,FALSE)*C$61</f>
        <v>83899.074556869469</v>
      </c>
      <c r="U18" s="85">
        <f>VLOOKUP($Q18,Iedz_sk!$B$14:$R$123,5,FALSE)*D$61</f>
        <v>87308.98679406094</v>
      </c>
      <c r="V18" s="85">
        <f>VLOOKUP($Q18,Iedz_sk!$B$14:$R$123,6,FALSE)*E$61</f>
        <v>91966.06069396055</v>
      </c>
      <c r="W18" s="85">
        <f>VLOOKUP($Q18,Iedz_sk!$B$14:$R$123,7,FALSE)*F$61</f>
        <v>99538.543897859316</v>
      </c>
      <c r="X18" s="85">
        <f>VLOOKUP($Q18,Iedz_sk!$B$14:$R$123,8,FALSE)*G$61</f>
        <v>98744.663939810111</v>
      </c>
      <c r="Y18" s="91">
        <f>VLOOKUP($Q18,Iedz_sk!$B$14:$R$123,9,FALSE)*H$61</f>
        <v>100337.1295519846</v>
      </c>
      <c r="Z18" s="91">
        <f>VLOOKUP($Q18,Iedz_sk!$B$14:$R$123,10,FALSE)*I$61</f>
        <v>93941.990797172737</v>
      </c>
      <c r="AA18" s="91">
        <f>VLOOKUP($Q18,Iedz_sk!$B$14:$R$123,11,FALSE)*J$61</f>
        <v>96805.420211106088</v>
      </c>
      <c r="AB18" s="91">
        <f>VLOOKUP($Q18,Iedz_sk!$B$14:$R$123,16,FALSE)*K$61</f>
        <v>100279.29686387278</v>
      </c>
      <c r="AC18" s="162">
        <f>VLOOKUP($Q18,Iedz_sk!$B$14:$R$123,17,FALSE)*L$61</f>
        <v>102575.92166560695</v>
      </c>
      <c r="AD18" s="163">
        <f>VLOOKUP($Q18,Iedz_sk!$B$14:$Y$123,24,FALSE)*M$61</f>
        <v>110884.00229370961</v>
      </c>
    </row>
    <row r="19" spans="1:30" x14ac:dyDescent="0.35">
      <c r="A19" s="7" t="s">
        <v>311</v>
      </c>
      <c r="B19" s="89">
        <v>1748074</v>
      </c>
      <c r="C19" s="89">
        <v>1753049</v>
      </c>
      <c r="D19" s="89">
        <v>1775697</v>
      </c>
      <c r="E19" s="89">
        <v>1783224</v>
      </c>
      <c r="F19" s="89">
        <v>1916034</v>
      </c>
      <c r="G19" s="89">
        <v>1871716</v>
      </c>
      <c r="H19" s="3"/>
      <c r="I19" s="3"/>
      <c r="J19" s="3"/>
      <c r="K19" s="3"/>
      <c r="L19" s="3"/>
      <c r="M19" s="3"/>
      <c r="N19" s="220"/>
      <c r="O19" s="219"/>
      <c r="Q19" s="3" t="s">
        <v>57</v>
      </c>
      <c r="R19" s="3" t="s">
        <v>292</v>
      </c>
      <c r="S19" s="85">
        <f>VLOOKUP($Q19,Iedz_sk!$B$14:$R$123,3,FALSE)*B$61</f>
        <v>51291.108448667626</v>
      </c>
      <c r="T19" s="85">
        <f>VLOOKUP($Q19,Iedz_sk!$B$14:$R$123,4,FALSE)*C$61</f>
        <v>50076.292655253274</v>
      </c>
      <c r="U19" s="85">
        <f>VLOOKUP($Q19,Iedz_sk!$B$14:$R$123,5,FALSE)*D$61</f>
        <v>53069.161893050448</v>
      </c>
      <c r="V19" s="85">
        <f>VLOOKUP($Q19,Iedz_sk!$B$14:$R$123,6,FALSE)*E$61</f>
        <v>56391.575142276095</v>
      </c>
      <c r="W19" s="85">
        <f>VLOOKUP($Q19,Iedz_sk!$B$14:$R$123,7,FALSE)*F$61</f>
        <v>61175.88430778763</v>
      </c>
      <c r="X19" s="85">
        <f>VLOOKUP($Q19,Iedz_sk!$B$14:$R$123,8,FALSE)*G$61</f>
        <v>61424.638144145218</v>
      </c>
      <c r="Y19" s="91">
        <f>VLOOKUP($Q19,Iedz_sk!$B$14:$R$123,9,FALSE)*H$61</f>
        <v>63600.96233866665</v>
      </c>
      <c r="Z19" s="91">
        <f>VLOOKUP($Q19,Iedz_sk!$B$14:$R$123,10,FALSE)*I$61</f>
        <v>60857.693760170296</v>
      </c>
      <c r="AA19" s="91">
        <f>VLOOKUP($Q19,Iedz_sk!$B$14:$R$123,11,FALSE)*J$61</f>
        <v>62699.088164068038</v>
      </c>
      <c r="AB19" s="91">
        <f>VLOOKUP($Q19,Iedz_sk!$B$14:$R$123,16,FALSE)*K$61</f>
        <v>65156.924476198838</v>
      </c>
      <c r="AC19" s="162">
        <f>VLOOKUP($Q19,Iedz_sk!$B$14:$R$123,17,FALSE)*L$61</f>
        <v>66845.949784584067</v>
      </c>
      <c r="AD19" s="163">
        <f>VLOOKUP($Q19,Iedz_sk!$B$14:$Y$123,24,FALSE)*M$61</f>
        <v>74139.915115841737</v>
      </c>
    </row>
    <row r="20" spans="1:30" x14ac:dyDescent="0.35">
      <c r="A20" s="19" t="s">
        <v>1</v>
      </c>
      <c r="B20" s="85">
        <v>12285806</v>
      </c>
      <c r="C20" s="85">
        <v>12731959</v>
      </c>
      <c r="D20" s="85">
        <v>13359444</v>
      </c>
      <c r="E20" s="85">
        <v>13761872</v>
      </c>
      <c r="F20" s="85">
        <v>14483156</v>
      </c>
      <c r="G20" s="85">
        <v>16395470</v>
      </c>
      <c r="H20" s="91">
        <f t="shared" ref="H20:L28" si="3">G20*(1+H$9)</f>
        <v>17235482.658936702</v>
      </c>
      <c r="I20" s="91">
        <f t="shared" si="3"/>
        <v>16596476.439555094</v>
      </c>
      <c r="J20" s="91">
        <f t="shared" si="3"/>
        <v>17476089.690851513</v>
      </c>
      <c r="K20" s="91">
        <f t="shared" si="3"/>
        <v>18367370.265084941</v>
      </c>
      <c r="L20" s="91">
        <f t="shared" si="3"/>
        <v>19065330.335158169</v>
      </c>
      <c r="M20" s="163">
        <f>L20*(1+M$9*(M$4-L$4))</f>
        <v>23069049.705541383</v>
      </c>
      <c r="N20" s="220"/>
      <c r="O20" s="219"/>
      <c r="Q20" s="3" t="s">
        <v>60</v>
      </c>
      <c r="R20" s="3" t="s">
        <v>292</v>
      </c>
      <c r="S20" s="85">
        <f>VLOOKUP($Q20,Iedz_sk!$B$14:$R$123,3,FALSE)*B$61</f>
        <v>55388.90725056806</v>
      </c>
      <c r="T20" s="85">
        <f>VLOOKUP($Q20,Iedz_sk!$B$14:$R$123,4,FALSE)*C$61</f>
        <v>54042.92325584327</v>
      </c>
      <c r="U20" s="85">
        <f>VLOOKUP($Q20,Iedz_sk!$B$14:$R$123,5,FALSE)*D$61</f>
        <v>56939.750794903812</v>
      </c>
      <c r="V20" s="85">
        <f>VLOOKUP($Q20,Iedz_sk!$B$14:$R$123,6,FALSE)*E$61</f>
        <v>60133.353175791774</v>
      </c>
      <c r="W20" s="85">
        <f>VLOOKUP($Q20,Iedz_sk!$B$14:$R$123,7,FALSE)*F$61</f>
        <v>66814.555069101116</v>
      </c>
      <c r="X20" s="85">
        <f>VLOOKUP($Q20,Iedz_sk!$B$14:$R$123,8,FALSE)*G$61</f>
        <v>67573.389024899981</v>
      </c>
      <c r="Y20" s="91">
        <f>VLOOKUP($Q20,Iedz_sk!$B$14:$R$123,9,FALSE)*H$61</f>
        <v>69963.67697361765</v>
      </c>
      <c r="Z20" s="91">
        <f>VLOOKUP($Q20,Iedz_sk!$B$14:$R$123,10,FALSE)*I$61</f>
        <v>66355.159658800025</v>
      </c>
      <c r="AA20" s="91">
        <f>VLOOKUP($Q20,Iedz_sk!$B$14:$R$123,11,FALSE)*J$61</f>
        <v>68926.18568501831</v>
      </c>
      <c r="AB20" s="91">
        <f>VLOOKUP($Q20,Iedz_sk!$B$14:$R$123,16,FALSE)*K$61</f>
        <v>71858.623257336003</v>
      </c>
      <c r="AC20" s="162">
        <f>VLOOKUP($Q20,Iedz_sk!$B$14:$R$123,17,FALSE)*L$61</f>
        <v>73994.792305219176</v>
      </c>
      <c r="AD20" s="163">
        <f>VLOOKUP($Q20,Iedz_sk!$B$14:$Y$123,24,FALSE)*M$61</f>
        <v>84303.548050467696</v>
      </c>
    </row>
    <row r="21" spans="1:30" x14ac:dyDescent="0.35">
      <c r="A21" s="19" t="s">
        <v>4</v>
      </c>
      <c r="B21" s="85">
        <v>314917</v>
      </c>
      <c r="C21" s="85">
        <v>351182</v>
      </c>
      <c r="D21" s="85">
        <v>354600</v>
      </c>
      <c r="E21" s="85">
        <v>344528</v>
      </c>
      <c r="F21" s="85">
        <v>413226</v>
      </c>
      <c r="G21" s="85">
        <v>421345</v>
      </c>
      <c r="H21" s="91">
        <f t="shared" si="3"/>
        <v>442932.37345008616</v>
      </c>
      <c r="I21" s="91">
        <f t="shared" si="3"/>
        <v>426510.63772031787</v>
      </c>
      <c r="J21" s="91">
        <f t="shared" si="3"/>
        <v>449115.7015194947</v>
      </c>
      <c r="K21" s="91">
        <f t="shared" si="3"/>
        <v>472020.60229698889</v>
      </c>
      <c r="L21" s="91">
        <f t="shared" si="3"/>
        <v>489957.38518427446</v>
      </c>
      <c r="M21" s="163">
        <f t="shared" ref="M21:M28" si="4">L21*(1+M$9*(M$4-L$4))</f>
        <v>592848.43607297214</v>
      </c>
      <c r="N21" s="220"/>
      <c r="O21" s="219"/>
      <c r="Q21" s="3" t="s">
        <v>61</v>
      </c>
      <c r="R21" s="3" t="s">
        <v>292</v>
      </c>
      <c r="S21" s="85">
        <f>VLOOKUP($Q21,Iedz_sk!$B$14:$R$123,3,FALSE)*B$61</f>
        <v>218977.3488948564</v>
      </c>
      <c r="T21" s="85">
        <f>VLOOKUP($Q21,Iedz_sk!$B$14:$R$123,4,FALSE)*C$61</f>
        <v>216084.62064433575</v>
      </c>
      <c r="U21" s="85">
        <f>VLOOKUP($Q21,Iedz_sk!$B$14:$R$123,5,FALSE)*D$61</f>
        <v>232338.00225183432</v>
      </c>
      <c r="V21" s="85">
        <f>VLOOKUP($Q21,Iedz_sk!$B$14:$R$123,6,FALSE)*E$61</f>
        <v>251052.33443160498</v>
      </c>
      <c r="W21" s="85">
        <f>VLOOKUP($Q21,Iedz_sk!$B$14:$R$123,7,FALSE)*F$61</f>
        <v>278720.23442221858</v>
      </c>
      <c r="X21" s="85">
        <f>VLOOKUP($Q21,Iedz_sk!$B$14:$R$123,8,FALSE)*G$61</f>
        <v>289733.16522362211</v>
      </c>
      <c r="Y21" s="91">
        <f>VLOOKUP($Q21,Iedz_sk!$B$14:$R$123,9,FALSE)*H$61</f>
        <v>310254.34448368096</v>
      </c>
      <c r="Z21" s="91">
        <f>VLOOKUP($Q21,Iedz_sk!$B$14:$R$123,10,FALSE)*I$61</f>
        <v>301850.6784928618</v>
      </c>
      <c r="AA21" s="91">
        <f>VLOOKUP($Q21,Iedz_sk!$B$14:$R$123,11,FALSE)*J$61</f>
        <v>319540.91466359608</v>
      </c>
      <c r="AB21" s="91">
        <f>VLOOKUP($Q21,Iedz_sk!$B$14:$R$123,16,FALSE)*K$61</f>
        <v>337273.24886294361</v>
      </c>
      <c r="AC21" s="162">
        <f>VLOOKUP($Q21,Iedz_sk!$B$14:$R$123,17,FALSE)*L$61</f>
        <v>351574.9485048597</v>
      </c>
      <c r="AD21" s="163">
        <f>VLOOKUP($Q21,Iedz_sk!$B$14:$Y$123,24,FALSE)*M$61</f>
        <v>438410.15616968041</v>
      </c>
    </row>
    <row r="22" spans="1:30" x14ac:dyDescent="0.35">
      <c r="A22" s="19" t="s">
        <v>8</v>
      </c>
      <c r="B22" s="85">
        <v>299721</v>
      </c>
      <c r="C22" s="85">
        <v>332890</v>
      </c>
      <c r="D22" s="85">
        <v>348612</v>
      </c>
      <c r="E22" s="85">
        <v>360710</v>
      </c>
      <c r="F22" s="85">
        <v>384069</v>
      </c>
      <c r="G22" s="85">
        <v>390505</v>
      </c>
      <c r="H22" s="91">
        <f t="shared" si="3"/>
        <v>410512.30344284588</v>
      </c>
      <c r="I22" s="91">
        <f t="shared" si="3"/>
        <v>395292.54312492791</v>
      </c>
      <c r="J22" s="91">
        <f t="shared" si="3"/>
        <v>416243.04791054904</v>
      </c>
      <c r="K22" s="91">
        <f t="shared" si="3"/>
        <v>437471.44335398701</v>
      </c>
      <c r="L22" s="91">
        <f t="shared" si="3"/>
        <v>454095.3582014385</v>
      </c>
      <c r="M22" s="163">
        <f t="shared" si="4"/>
        <v>549455.38342374063</v>
      </c>
      <c r="N22" s="220"/>
      <c r="O22" s="219"/>
      <c r="Q22" s="3" t="s">
        <v>62</v>
      </c>
      <c r="R22" s="3" t="s">
        <v>292</v>
      </c>
      <c r="S22" s="85">
        <f>VLOOKUP($Q22,Iedz_sk!$B$14:$R$123,3,FALSE)*B$61</f>
        <v>100798.00784961785</v>
      </c>
      <c r="T22" s="85">
        <f>VLOOKUP($Q22,Iedz_sk!$B$14:$R$123,4,FALSE)*C$61</f>
        <v>98430.487147323569</v>
      </c>
      <c r="U22" s="85">
        <f>VLOOKUP($Q22,Iedz_sk!$B$14:$R$123,5,FALSE)*D$61</f>
        <v>103181.48133587871</v>
      </c>
      <c r="V22" s="85">
        <f>VLOOKUP($Q22,Iedz_sk!$B$14:$R$123,6,FALSE)*E$61</f>
        <v>109913.35002285875</v>
      </c>
      <c r="W22" s="85">
        <f>VLOOKUP($Q22,Iedz_sk!$B$14:$R$123,7,FALSE)*F$61</f>
        <v>120135.69713732977</v>
      </c>
      <c r="X22" s="85">
        <f>VLOOKUP($Q22,Iedz_sk!$B$14:$R$123,8,FALSE)*G$61</f>
        <v>122409.18164447363</v>
      </c>
      <c r="Y22" s="91">
        <f>VLOOKUP($Q22,Iedz_sk!$B$14:$R$123,9,FALSE)*H$61</f>
        <v>126246.20828154848</v>
      </c>
      <c r="Z22" s="91">
        <f>VLOOKUP($Q22,Iedz_sk!$B$14:$R$123,10,FALSE)*I$61</f>
        <v>119700.47920455322</v>
      </c>
      <c r="AA22" s="91">
        <f>VLOOKUP($Q22,Iedz_sk!$B$14:$R$123,11,FALSE)*J$61</f>
        <v>123854.37506773382</v>
      </c>
      <c r="AB22" s="91">
        <f>VLOOKUP($Q22,Iedz_sk!$B$14:$R$123,16,FALSE)*K$61</f>
        <v>129260.72485821898</v>
      </c>
      <c r="AC22" s="162">
        <f>VLOOKUP($Q22,Iedz_sk!$B$14:$R$123,17,FALSE)*L$61</f>
        <v>133236.19646028301</v>
      </c>
      <c r="AD22" s="163">
        <f>VLOOKUP($Q22,Iedz_sk!$B$14:$Y$123,24,FALSE)*M$61</f>
        <v>153000.54708866746</v>
      </c>
    </row>
    <row r="23" spans="1:30" x14ac:dyDescent="0.35">
      <c r="A23" s="19" t="s">
        <v>6</v>
      </c>
      <c r="B23" s="85">
        <v>717871</v>
      </c>
      <c r="C23" s="85">
        <v>704779</v>
      </c>
      <c r="D23" s="85">
        <v>747871</v>
      </c>
      <c r="E23" s="85">
        <v>797249</v>
      </c>
      <c r="F23" s="85">
        <v>835320</v>
      </c>
      <c r="G23" s="85">
        <v>897384</v>
      </c>
      <c r="H23" s="91">
        <f t="shared" si="3"/>
        <v>943360.96314453031</v>
      </c>
      <c r="I23" s="91">
        <f t="shared" si="3"/>
        <v>908385.81713325123</v>
      </c>
      <c r="J23" s="91">
        <f t="shared" si="3"/>
        <v>956530.2654413135</v>
      </c>
      <c r="K23" s="91">
        <f t="shared" si="3"/>
        <v>1005313.3089788205</v>
      </c>
      <c r="L23" s="91">
        <f t="shared" si="3"/>
        <v>1043515.2147200156</v>
      </c>
      <c r="M23" s="163">
        <f t="shared" si="4"/>
        <v>1262653.409811219</v>
      </c>
      <c r="N23" s="220"/>
      <c r="O23" s="219"/>
      <c r="Q23" s="3" t="s">
        <v>63</v>
      </c>
      <c r="R23" s="3" t="s">
        <v>292</v>
      </c>
      <c r="S23" s="85">
        <f>VLOOKUP($Q23,Iedz_sk!$B$14:$R$123,3,FALSE)*B$61</f>
        <v>171538.95558768848</v>
      </c>
      <c r="T23" s="85">
        <f>VLOOKUP($Q23,Iedz_sk!$B$14:$R$123,4,FALSE)*C$61</f>
        <v>167004.82299362094</v>
      </c>
      <c r="U23" s="85">
        <f>VLOOKUP($Q23,Iedz_sk!$B$14:$R$123,5,FALSE)*D$61</f>
        <v>175541.98685381631</v>
      </c>
      <c r="V23" s="85">
        <f>VLOOKUP($Q23,Iedz_sk!$B$14:$R$123,6,FALSE)*E$61</f>
        <v>185830.60463796445</v>
      </c>
      <c r="W23" s="85">
        <f>VLOOKUP($Q23,Iedz_sk!$B$14:$R$123,7,FALSE)*F$61</f>
        <v>204014.00258892105</v>
      </c>
      <c r="X23" s="85">
        <f>VLOOKUP($Q23,Iedz_sk!$B$14:$R$123,8,FALSE)*G$61</f>
        <v>205109.25228399114</v>
      </c>
      <c r="Y23" s="91">
        <f>VLOOKUP($Q23,Iedz_sk!$B$14:$R$123,9,FALSE)*H$61</f>
        <v>213412.78037929293</v>
      </c>
      <c r="Z23" s="91">
        <f>VLOOKUP($Q23,Iedz_sk!$B$14:$R$123,10,FALSE)*I$61</f>
        <v>208605.19921225755</v>
      </c>
      <c r="AA23" s="91">
        <f>VLOOKUP($Q23,Iedz_sk!$B$14:$R$123,11,FALSE)*J$61</f>
        <v>217221.91852248195</v>
      </c>
      <c r="AB23" s="91">
        <f>VLOOKUP($Q23,Iedz_sk!$B$14:$R$123,16,FALSE)*K$61</f>
        <v>224862.50951158378</v>
      </c>
      <c r="AC23" s="162">
        <f>VLOOKUP($Q23,Iedz_sk!$B$14:$R$123,17,FALSE)*L$61</f>
        <v>229816.77409962029</v>
      </c>
      <c r="AD23" s="163">
        <f>VLOOKUP($Q23,Iedz_sk!$B$14:$Y$123,24,FALSE)*M$61</f>
        <v>246904.06038934513</v>
      </c>
    </row>
    <row r="24" spans="1:30" x14ac:dyDescent="0.35">
      <c r="A24" s="19" t="s">
        <v>9</v>
      </c>
      <c r="B24" s="85">
        <v>519053</v>
      </c>
      <c r="C24" s="85">
        <v>481685</v>
      </c>
      <c r="D24" s="85">
        <v>503259</v>
      </c>
      <c r="E24" s="85">
        <v>473718</v>
      </c>
      <c r="F24" s="85">
        <v>483367</v>
      </c>
      <c r="G24" s="85">
        <v>470141</v>
      </c>
      <c r="H24" s="91">
        <f t="shared" si="3"/>
        <v>494228.40899072483</v>
      </c>
      <c r="I24" s="91">
        <f t="shared" si="3"/>
        <v>475904.87066054653</v>
      </c>
      <c r="J24" s="91">
        <f t="shared" si="3"/>
        <v>501127.82880555547</v>
      </c>
      <c r="K24" s="91">
        <f t="shared" si="3"/>
        <v>526685.34807463875</v>
      </c>
      <c r="L24" s="91">
        <f t="shared" si="3"/>
        <v>546699.391301475</v>
      </c>
      <c r="M24" s="163">
        <f t="shared" si="4"/>
        <v>661506.26347478468</v>
      </c>
      <c r="N24" s="220"/>
      <c r="O24" s="219"/>
      <c r="Q24" s="3" t="s">
        <v>70</v>
      </c>
      <c r="R24" s="3" t="s">
        <v>292</v>
      </c>
      <c r="S24" s="85">
        <f>VLOOKUP($Q24,Iedz_sk!$B$14:$R$123,3,FALSE)*B$61</f>
        <v>34782.273084073538</v>
      </c>
      <c r="T24" s="85">
        <f>VLOOKUP($Q24,Iedz_sk!$B$14:$R$123,4,FALSE)*C$61</f>
        <v>34074.324329946292</v>
      </c>
      <c r="U24" s="85">
        <f>VLOOKUP($Q24,Iedz_sk!$B$14:$R$123,5,FALSE)*D$61</f>
        <v>36098.11824646264</v>
      </c>
      <c r="V24" s="85">
        <f>VLOOKUP($Q24,Iedz_sk!$B$14:$R$123,6,FALSE)*E$61</f>
        <v>38300.795800293221</v>
      </c>
      <c r="W24" s="85">
        <f>VLOOKUP($Q24,Iedz_sk!$B$14:$R$123,7,FALSE)*F$61</f>
        <v>41994.554512751783</v>
      </c>
      <c r="X24" s="85">
        <f>VLOOKUP($Q24,Iedz_sk!$B$14:$R$123,8,FALSE)*G$61</f>
        <v>42890.366573117572</v>
      </c>
      <c r="Y24" s="91">
        <f>VLOOKUP($Q24,Iedz_sk!$B$14:$R$123,9,FALSE)*H$61</f>
        <v>43858.218162728132</v>
      </c>
      <c r="Z24" s="91">
        <f>VLOOKUP($Q24,Iedz_sk!$B$14:$R$123,10,FALSE)*I$61</f>
        <v>41952.381167597465</v>
      </c>
      <c r="AA24" s="91">
        <f>VLOOKUP($Q24,Iedz_sk!$B$14:$R$123,11,FALSE)*J$61</f>
        <v>43122.650332580626</v>
      </c>
      <c r="AB24" s="91">
        <f>VLOOKUP($Q24,Iedz_sk!$B$14:$R$123,16,FALSE)*K$61</f>
        <v>45079.182005363429</v>
      </c>
      <c r="AC24" s="162">
        <f>VLOOKUP($Q24,Iedz_sk!$B$14:$R$123,17,FALSE)*L$61</f>
        <v>46538.679994891507</v>
      </c>
      <c r="AD24" s="163">
        <f>VLOOKUP($Q24,Iedz_sk!$B$14:$Y$123,24,FALSE)*M$61</f>
        <v>54076.868473659808</v>
      </c>
    </row>
    <row r="25" spans="1:30" x14ac:dyDescent="0.35">
      <c r="A25" s="19" t="s">
        <v>5</v>
      </c>
      <c r="B25" s="85">
        <v>506504</v>
      </c>
      <c r="C25" s="85">
        <v>519381</v>
      </c>
      <c r="D25" s="85">
        <v>523856</v>
      </c>
      <c r="E25" s="85">
        <v>550073</v>
      </c>
      <c r="F25" s="85">
        <v>592572</v>
      </c>
      <c r="G25" s="85">
        <v>583498</v>
      </c>
      <c r="H25" s="91">
        <f t="shared" si="3"/>
        <v>613393.19095605356</v>
      </c>
      <c r="I25" s="91">
        <f t="shared" si="3"/>
        <v>590651.61349613755</v>
      </c>
      <c r="J25" s="91">
        <f t="shared" si="3"/>
        <v>621956.14901143278</v>
      </c>
      <c r="K25" s="91">
        <f t="shared" si="3"/>
        <v>653675.91261101584</v>
      </c>
      <c r="L25" s="91">
        <f t="shared" si="3"/>
        <v>678515.59729023441</v>
      </c>
      <c r="M25" s="163">
        <f t="shared" si="4"/>
        <v>821003.87272118358</v>
      </c>
      <c r="N25" s="220"/>
      <c r="O25" s="219"/>
      <c r="Q25" s="3" t="s">
        <v>71</v>
      </c>
      <c r="R25" s="3" t="s">
        <v>292</v>
      </c>
      <c r="S25" s="85">
        <f>VLOOKUP($Q25,Iedz_sk!$B$14:$R$123,3,FALSE)*B$61</f>
        <v>163313.94794463951</v>
      </c>
      <c r="T25" s="85">
        <f>VLOOKUP($Q25,Iedz_sk!$B$14:$R$123,4,FALSE)*C$61</f>
        <v>163966.96443609591</v>
      </c>
      <c r="U25" s="85">
        <f>VLOOKUP($Q25,Iedz_sk!$B$14:$R$123,5,FALSE)*D$61</f>
        <v>182143.54829649991</v>
      </c>
      <c r="V25" s="85">
        <f>VLOOKUP($Q25,Iedz_sk!$B$14:$R$123,6,FALSE)*E$61</f>
        <v>205554.96259044975</v>
      </c>
      <c r="W25" s="85">
        <f>VLOOKUP($Q25,Iedz_sk!$B$14:$R$123,7,FALSE)*F$61</f>
        <v>228021.44360324705</v>
      </c>
      <c r="X25" s="85">
        <f>VLOOKUP($Q25,Iedz_sk!$B$14:$R$123,8,FALSE)*G$61</f>
        <v>244642.32543142053</v>
      </c>
      <c r="Y25" s="91">
        <f>VLOOKUP($Q25,Iedz_sk!$B$14:$R$123,9,FALSE)*H$61</f>
        <v>261931.75247214979</v>
      </c>
      <c r="Z25" s="91">
        <f>VLOOKUP($Q25,Iedz_sk!$B$14:$R$123,10,FALSE)*I$61</f>
        <v>257970.45294904805</v>
      </c>
      <c r="AA25" s="91">
        <f>VLOOKUP($Q25,Iedz_sk!$B$14:$R$123,11,FALSE)*J$61</f>
        <v>279921.00668654998</v>
      </c>
      <c r="AB25" s="91">
        <f>VLOOKUP($Q25,Iedz_sk!$B$14:$R$123,16,FALSE)*K$61</f>
        <v>305994.09557220753</v>
      </c>
      <c r="AC25" s="162">
        <f>VLOOKUP($Q25,Iedz_sk!$B$14:$R$123,17,FALSE)*L$61</f>
        <v>329943.29155496979</v>
      </c>
      <c r="AD25" s="163">
        <f>VLOOKUP($Q25,Iedz_sk!$B$14:$Y$123,24,FALSE)*M$61</f>
        <v>506244.03906611819</v>
      </c>
    </row>
    <row r="26" spans="1:30" x14ac:dyDescent="0.35">
      <c r="A26" s="19" t="s">
        <v>3</v>
      </c>
      <c r="B26" s="85">
        <v>197716</v>
      </c>
      <c r="C26" s="85">
        <v>194513</v>
      </c>
      <c r="D26" s="85">
        <v>206704</v>
      </c>
      <c r="E26" s="85">
        <v>206575</v>
      </c>
      <c r="F26" s="85">
        <v>217715</v>
      </c>
      <c r="G26" s="85">
        <v>234515</v>
      </c>
      <c r="H26" s="91">
        <f t="shared" si="3"/>
        <v>246530.24376614639</v>
      </c>
      <c r="I26" s="91">
        <f t="shared" si="3"/>
        <v>237390.12496880311</v>
      </c>
      <c r="J26" s="91">
        <f t="shared" si="3"/>
        <v>249971.80159214966</v>
      </c>
      <c r="K26" s="91">
        <f t="shared" si="3"/>
        <v>262720.36347334925</v>
      </c>
      <c r="L26" s="91">
        <f t="shared" si="3"/>
        <v>272703.73728533654</v>
      </c>
      <c r="M26" s="163">
        <f t="shared" si="4"/>
        <v>329971.52211525722</v>
      </c>
      <c r="N26" s="220"/>
      <c r="O26" s="219"/>
      <c r="Q26" s="3" t="s">
        <v>76</v>
      </c>
      <c r="R26" s="3" t="s">
        <v>292</v>
      </c>
      <c r="S26" s="85">
        <f>VLOOKUP($Q26,Iedz_sk!$B$14:$R$123,3,FALSE)*B$61</f>
        <v>348322.70150795288</v>
      </c>
      <c r="T26" s="85">
        <f>VLOOKUP($Q26,Iedz_sk!$B$14:$R$123,4,FALSE)*C$61</f>
        <v>337618.31236290059</v>
      </c>
      <c r="U26" s="85">
        <f>VLOOKUP($Q26,Iedz_sk!$B$14:$R$123,5,FALSE)*D$61</f>
        <v>355026.43030792888</v>
      </c>
      <c r="V26" s="85">
        <f>VLOOKUP($Q26,Iedz_sk!$B$14:$R$123,6,FALSE)*E$61</f>
        <v>375060.81881670421</v>
      </c>
      <c r="W26" s="85">
        <f>VLOOKUP($Q26,Iedz_sk!$B$14:$R$123,7,FALSE)*F$61</f>
        <v>411795.32669085945</v>
      </c>
      <c r="X26" s="85">
        <f>VLOOKUP($Q26,Iedz_sk!$B$14:$R$123,8,FALSE)*G$61</f>
        <v>415990.03146832268</v>
      </c>
      <c r="Y26" s="91">
        <f>VLOOKUP($Q26,Iedz_sk!$B$14:$R$123,9,FALSE)*H$61</f>
        <v>431996.90290016128</v>
      </c>
      <c r="Z26" s="91">
        <f>VLOOKUP($Q26,Iedz_sk!$B$14:$R$123,10,FALSE)*I$61</f>
        <v>409536.33403660887</v>
      </c>
      <c r="AA26" s="91">
        <f>VLOOKUP($Q26,Iedz_sk!$B$14:$R$123,11,FALSE)*J$61</f>
        <v>425388.59939991537</v>
      </c>
      <c r="AB26" s="91">
        <f>VLOOKUP($Q26,Iedz_sk!$B$14:$R$123,16,FALSE)*K$61</f>
        <v>441833.42678497138</v>
      </c>
      <c r="AC26" s="162">
        <f>VLOOKUP($Q26,Iedz_sk!$B$14:$R$123,17,FALSE)*L$61</f>
        <v>453139.77889762778</v>
      </c>
      <c r="AD26" s="163">
        <f>VLOOKUP($Q26,Iedz_sk!$B$14:$Y$123,24,FALSE)*M$61</f>
        <v>500660.20606737223</v>
      </c>
    </row>
    <row r="27" spans="1:30" x14ac:dyDescent="0.35">
      <c r="A27" s="19" t="s">
        <v>2</v>
      </c>
      <c r="B27" s="85">
        <v>724319</v>
      </c>
      <c r="C27" s="85">
        <v>728322</v>
      </c>
      <c r="D27" s="85">
        <v>719182</v>
      </c>
      <c r="E27" s="85">
        <v>722341</v>
      </c>
      <c r="F27" s="85">
        <v>761088</v>
      </c>
      <c r="G27" s="85">
        <v>693172</v>
      </c>
      <c r="H27" s="91">
        <f t="shared" si="3"/>
        <v>728686.27649347472</v>
      </c>
      <c r="I27" s="91">
        <f t="shared" si="3"/>
        <v>701670.20320608572</v>
      </c>
      <c r="J27" s="91">
        <f t="shared" si="3"/>
        <v>738858.72397600824</v>
      </c>
      <c r="K27" s="91">
        <f t="shared" si="3"/>
        <v>776540.51889878465</v>
      </c>
      <c r="L27" s="91">
        <f t="shared" si="3"/>
        <v>806049.05861693854</v>
      </c>
      <c r="M27" s="163">
        <f t="shared" si="4"/>
        <v>975319.36092649563</v>
      </c>
      <c r="N27" s="220"/>
      <c r="O27" s="219"/>
      <c r="Q27" s="3" t="s">
        <v>77</v>
      </c>
      <c r="R27" s="3" t="s">
        <v>292</v>
      </c>
      <c r="S27" s="85">
        <f>VLOOKUP($Q27,Iedz_sk!$B$14:$R$123,3,FALSE)*B$61</f>
        <v>194586.62301177441</v>
      </c>
      <c r="T27" s="85">
        <f>VLOOKUP($Q27,Iedz_sk!$B$14:$R$123,4,FALSE)*C$61</f>
        <v>190785.25717959707</v>
      </c>
      <c r="U27" s="85">
        <f>VLOOKUP($Q27,Iedz_sk!$B$14:$R$123,5,FALSE)*D$61</f>
        <v>202441.03969958768</v>
      </c>
      <c r="V27" s="85">
        <f>VLOOKUP($Q27,Iedz_sk!$B$14:$R$123,6,FALSE)*E$61</f>
        <v>217276.99289013603</v>
      </c>
      <c r="W27" s="85">
        <f>VLOOKUP($Q27,Iedz_sk!$B$14:$R$123,7,FALSE)*F$61</f>
        <v>239914.36053649778</v>
      </c>
      <c r="X27" s="85">
        <f>VLOOKUP($Q27,Iedz_sk!$B$14:$R$123,8,FALSE)*G$61</f>
        <v>244051.34119543797</v>
      </c>
      <c r="Y27" s="91">
        <f>VLOOKUP($Q27,Iedz_sk!$B$14:$R$123,9,FALSE)*H$61</f>
        <v>255281.01371792116</v>
      </c>
      <c r="Z27" s="91">
        <f>VLOOKUP($Q27,Iedz_sk!$B$14:$R$123,10,FALSE)*I$61</f>
        <v>242672.07499584765</v>
      </c>
      <c r="AA27" s="91">
        <f>VLOOKUP($Q27,Iedz_sk!$B$14:$R$123,11,FALSE)*J$61</f>
        <v>255635.32635484391</v>
      </c>
      <c r="AB27" s="91">
        <f>VLOOKUP($Q27,Iedz_sk!$B$14:$R$123,16,FALSE)*K$61</f>
        <v>266618.1959989547</v>
      </c>
      <c r="AC27" s="162">
        <f>VLOOKUP($Q27,Iedz_sk!$B$14:$R$123,17,FALSE)*L$61</f>
        <v>274603.84526973468</v>
      </c>
      <c r="AD27" s="163">
        <f>VLOOKUP($Q27,Iedz_sk!$B$14:$Y$123,24,FALSE)*M$61</f>
        <v>313610.60791695089</v>
      </c>
    </row>
    <row r="28" spans="1:30" x14ac:dyDescent="0.35">
      <c r="A28" s="19" t="s">
        <v>7</v>
      </c>
      <c r="B28" s="85">
        <v>287719</v>
      </c>
      <c r="C28" s="85">
        <v>281803</v>
      </c>
      <c r="D28" s="85">
        <v>290999</v>
      </c>
      <c r="E28" s="85">
        <v>286341</v>
      </c>
      <c r="F28" s="85">
        <v>306159</v>
      </c>
      <c r="G28" s="85">
        <v>282665</v>
      </c>
      <c r="H28" s="91">
        <f t="shared" si="3"/>
        <v>297147.18186110811</v>
      </c>
      <c r="I28" s="91">
        <f t="shared" si="3"/>
        <v>286130.4380287262</v>
      </c>
      <c r="J28" s="91">
        <f t="shared" si="3"/>
        <v>301295.35124424868</v>
      </c>
      <c r="K28" s="91">
        <f t="shared" si="3"/>
        <v>316661.41415770532</v>
      </c>
      <c r="L28" s="91">
        <f t="shared" si="3"/>
        <v>328694.54789569811</v>
      </c>
      <c r="M28" s="163">
        <f t="shared" si="4"/>
        <v>397720.40295379469</v>
      </c>
      <c r="N28" s="220"/>
      <c r="O28" s="219"/>
      <c r="Q28" s="3" t="s">
        <v>89</v>
      </c>
      <c r="R28" s="3" t="s">
        <v>292</v>
      </c>
      <c r="S28" s="85">
        <f>VLOOKUP($Q28,Iedz_sk!$B$14:$R$123,3,FALSE)*B$61</f>
        <v>67231.349721131992</v>
      </c>
      <c r="T28" s="85">
        <f>VLOOKUP($Q28,Iedz_sk!$B$14:$R$123,4,FALSE)*C$61</f>
        <v>65284.934860442248</v>
      </c>
      <c r="U28" s="85">
        <f>VLOOKUP($Q28,Iedz_sk!$B$14:$R$123,5,FALSE)*D$61</f>
        <v>68787.654223919133</v>
      </c>
      <c r="V28" s="85">
        <f>VLOOKUP($Q28,Iedz_sk!$B$14:$R$123,6,FALSE)*E$61</f>
        <v>73190.944366496929</v>
      </c>
      <c r="W28" s="85">
        <f>VLOOKUP($Q28,Iedz_sk!$B$14:$R$123,7,FALSE)*F$61</f>
        <v>81760.726039045607</v>
      </c>
      <c r="X28" s="85">
        <f>VLOOKUP($Q28,Iedz_sk!$B$14:$R$123,8,FALSE)*G$61</f>
        <v>85504.102227264579</v>
      </c>
      <c r="Y28" s="91">
        <f>VLOOKUP($Q28,Iedz_sk!$B$14:$R$123,9,FALSE)*H$61</f>
        <v>89470.765051965398</v>
      </c>
      <c r="Z28" s="91">
        <f>VLOOKUP($Q28,Iedz_sk!$B$14:$R$123,10,FALSE)*I$61</f>
        <v>84613.71155741642</v>
      </c>
      <c r="AA28" s="91">
        <f>VLOOKUP($Q28,Iedz_sk!$B$14:$R$123,11,FALSE)*J$61</f>
        <v>88684.247194200099</v>
      </c>
      <c r="AB28" s="91">
        <f>VLOOKUP($Q28,Iedz_sk!$B$14:$R$123,16,FALSE)*K$61</f>
        <v>93632.305827887758</v>
      </c>
      <c r="AC28" s="162">
        <f>VLOOKUP($Q28,Iedz_sk!$B$14:$R$123,17,FALSE)*L$61</f>
        <v>97634.391078634071</v>
      </c>
      <c r="AD28" s="163">
        <f>VLOOKUP($Q28,Iedz_sk!$B$14:$Y$123,24,FALSE)*M$61</f>
        <v>121963.59521551157</v>
      </c>
    </row>
    <row r="29" spans="1:30" x14ac:dyDescent="0.35">
      <c r="A29" s="215" t="s">
        <v>313</v>
      </c>
      <c r="B29" s="215"/>
      <c r="C29" s="215"/>
      <c r="D29" s="215"/>
      <c r="E29" s="215"/>
      <c r="F29" s="215"/>
      <c r="G29" s="215"/>
      <c r="H29" s="215"/>
      <c r="I29" s="215"/>
      <c r="J29" s="215"/>
      <c r="K29" s="215"/>
      <c r="L29" s="215"/>
      <c r="M29" s="215"/>
      <c r="N29" s="215"/>
      <c r="O29" s="215"/>
      <c r="Q29" s="3" t="s">
        <v>94</v>
      </c>
      <c r="R29" s="3" t="s">
        <v>292</v>
      </c>
      <c r="S29" s="85">
        <f>VLOOKUP($Q29,Iedz_sk!$B$14:$R$123,3,FALSE)*B$61</f>
        <v>80210.980375955376</v>
      </c>
      <c r="T29" s="85">
        <f>VLOOKUP($Q29,Iedz_sk!$B$14:$R$123,4,FALSE)*C$61</f>
        <v>77658.887392526667</v>
      </c>
      <c r="U29" s="85">
        <f>VLOOKUP($Q29,Iedz_sk!$B$14:$R$123,5,FALSE)*D$61</f>
        <v>81713.57312957797</v>
      </c>
      <c r="V29" s="85">
        <f>VLOOKUP($Q29,Iedz_sk!$B$14:$R$123,6,FALSE)*E$61</f>
        <v>86369.950183658337</v>
      </c>
      <c r="W29" s="85">
        <f>VLOOKUP($Q29,Iedz_sk!$B$14:$R$123,7,FALSE)*F$61</f>
        <v>93247.363201284665</v>
      </c>
      <c r="X29" s="85">
        <f>VLOOKUP($Q29,Iedz_sk!$B$14:$R$123,8,FALSE)*G$61</f>
        <v>93337.786887203678</v>
      </c>
      <c r="Y29" s="91">
        <f>VLOOKUP($Q29,Iedz_sk!$B$14:$R$123,9,FALSE)*H$61</f>
        <v>94629.015188119083</v>
      </c>
      <c r="Z29" s="91">
        <f>VLOOKUP($Q29,Iedz_sk!$B$14:$R$123,10,FALSE)*I$61</f>
        <v>91006.692263062752</v>
      </c>
      <c r="AA29" s="91">
        <f>VLOOKUP($Q29,Iedz_sk!$B$14:$R$123,11,FALSE)*J$61</f>
        <v>94470.258640749729</v>
      </c>
      <c r="AB29" s="91">
        <f>VLOOKUP($Q29,Iedz_sk!$B$14:$R$123,16,FALSE)*K$61</f>
        <v>97749.063650586293</v>
      </c>
      <c r="AC29" s="162">
        <f>VLOOKUP($Q29,Iedz_sk!$B$14:$R$123,17,FALSE)*L$61</f>
        <v>99855.943734448971</v>
      </c>
      <c r="AD29" s="163">
        <f>VLOOKUP($Q29,Iedz_sk!$B$14:$Y$123,24,FALSE)*M$61</f>
        <v>106850.25542710762</v>
      </c>
    </row>
    <row r="30" spans="1:30" x14ac:dyDescent="0.35">
      <c r="A30" s="7" t="s">
        <v>307</v>
      </c>
      <c r="B30" s="92">
        <f t="shared" ref="B30:G31" si="5">B15-B21</f>
        <v>3132228</v>
      </c>
      <c r="C30" s="92">
        <f t="shared" si="5"/>
        <v>3069669</v>
      </c>
      <c r="D30" s="92">
        <f t="shared" si="5"/>
        <v>3264467</v>
      </c>
      <c r="E30" s="92">
        <f t="shared" si="5"/>
        <v>3500770</v>
      </c>
      <c r="F30" s="92">
        <f t="shared" si="5"/>
        <v>3894721</v>
      </c>
      <c r="G30" s="92">
        <f t="shared" si="5"/>
        <v>4001001</v>
      </c>
      <c r="H30" s="91">
        <f t="shared" ref="H30:L34" si="6">G30*(1+H$9)</f>
        <v>4205990.0298002064</v>
      </c>
      <c r="I30" s="91">
        <f t="shared" si="6"/>
        <v>4050052.7786721792</v>
      </c>
      <c r="J30" s="91">
        <f t="shared" si="6"/>
        <v>4264705.5759418048</v>
      </c>
      <c r="K30" s="91">
        <f t="shared" si="6"/>
        <v>4482205.5603148369</v>
      </c>
      <c r="L30" s="91">
        <f t="shared" si="6"/>
        <v>4652529.3716068007</v>
      </c>
      <c r="M30" s="163">
        <f>L30*(1+M$9*(M$4-L$4))</f>
        <v>5629560.5396442283</v>
      </c>
      <c r="N30" s="3"/>
      <c r="O30" s="3"/>
      <c r="Q30" s="3" t="s">
        <v>96</v>
      </c>
      <c r="R30" s="3" t="s">
        <v>292</v>
      </c>
      <c r="S30" s="85">
        <f>VLOOKUP($Q30,Iedz_sk!$B$14:$R$123,3,FALSE)*B$61</f>
        <v>218751.87192728772</v>
      </c>
      <c r="T30" s="85">
        <f>VLOOKUP($Q30,Iedz_sk!$B$14:$R$123,4,FALSE)*C$61</f>
        <v>213694.96757519981</v>
      </c>
      <c r="U30" s="85">
        <f>VLOOKUP($Q30,Iedz_sk!$B$14:$R$123,5,FALSE)*D$61</f>
        <v>228005.40671713374</v>
      </c>
      <c r="V30" s="85">
        <f>VLOOKUP($Q30,Iedz_sk!$B$14:$R$123,6,FALSE)*E$61</f>
        <v>245136.13081519082</v>
      </c>
      <c r="W30" s="85">
        <f>VLOOKUP($Q30,Iedz_sk!$B$14:$R$123,7,FALSE)*F$61</f>
        <v>274435.82956427732</v>
      </c>
      <c r="X30" s="85">
        <f>VLOOKUP($Q30,Iedz_sk!$B$14:$R$123,8,FALSE)*G$61</f>
        <v>283609.5626082283</v>
      </c>
      <c r="Y30" s="91">
        <f>VLOOKUP($Q30,Iedz_sk!$B$14:$R$123,9,FALSE)*H$61</f>
        <v>296651.7508505244</v>
      </c>
      <c r="Z30" s="91">
        <f>VLOOKUP($Q30,Iedz_sk!$B$14:$R$123,10,FALSE)*I$61</f>
        <v>282808.55113810592</v>
      </c>
      <c r="AA30" s="91">
        <f>VLOOKUP($Q30,Iedz_sk!$B$14:$R$123,11,FALSE)*J$61</f>
        <v>296669.30439393915</v>
      </c>
      <c r="AB30" s="91">
        <f>VLOOKUP($Q30,Iedz_sk!$B$14:$R$123,16,FALSE)*K$61</f>
        <v>314802.0425417021</v>
      </c>
      <c r="AC30" s="162">
        <f>VLOOKUP($Q30,Iedz_sk!$B$14:$R$123,17,FALSE)*L$61</f>
        <v>329886.32866635913</v>
      </c>
      <c r="AD30" s="163">
        <f>VLOOKUP($Q30,Iedz_sk!$B$14:$Y$123,24,FALSE)*M$61</f>
        <v>426361.75941528846</v>
      </c>
    </row>
    <row r="31" spans="1:30" x14ac:dyDescent="0.35">
      <c r="A31" s="7" t="s">
        <v>308</v>
      </c>
      <c r="B31" s="92">
        <f t="shared" si="5"/>
        <v>1117303</v>
      </c>
      <c r="C31" s="92">
        <f t="shared" si="5"/>
        <v>1259081</v>
      </c>
      <c r="D31" s="92">
        <f t="shared" si="5"/>
        <v>1248480</v>
      </c>
      <c r="E31" s="92">
        <f t="shared" si="5"/>
        <v>1282200</v>
      </c>
      <c r="F31" s="92">
        <f t="shared" si="5"/>
        <v>1325207</v>
      </c>
      <c r="G31" s="92">
        <f t="shared" si="5"/>
        <v>1421291</v>
      </c>
      <c r="H31" s="91">
        <f t="shared" si="6"/>
        <v>1494110.042822975</v>
      </c>
      <c r="I31" s="91">
        <f t="shared" si="6"/>
        <v>1438715.8523208969</v>
      </c>
      <c r="J31" s="91">
        <f t="shared" si="6"/>
        <v>1514967.7924939045</v>
      </c>
      <c r="K31" s="91">
        <f t="shared" si="6"/>
        <v>1592231.1499110935</v>
      </c>
      <c r="L31" s="91">
        <f t="shared" si="6"/>
        <v>1652735.9336077152</v>
      </c>
      <c r="M31" s="163">
        <f t="shared" ref="M31:M34" si="7">L31*(1+M$9*(M$4-L$4))</f>
        <v>1999810.4796653353</v>
      </c>
      <c r="N31" s="3"/>
      <c r="O31" s="3"/>
      <c r="Q31" s="3" t="s">
        <v>98</v>
      </c>
      <c r="R31" s="3" t="s">
        <v>292</v>
      </c>
      <c r="S31" s="85">
        <f>VLOOKUP($Q31,Iedz_sk!$B$14:$R$123,3,FALSE)*B$61</f>
        <v>57398.593265854157</v>
      </c>
      <c r="T31" s="85">
        <f>VLOOKUP($Q31,Iedz_sk!$B$14:$R$123,4,FALSE)*C$61</f>
        <v>55852.093798063586</v>
      </c>
      <c r="U31" s="85">
        <f>VLOOKUP($Q31,Iedz_sk!$B$14:$R$123,5,FALSE)*D$61</f>
        <v>59034.180863811198</v>
      </c>
      <c r="V31" s="85">
        <f>VLOOKUP($Q31,Iedz_sk!$B$14:$R$123,6,FALSE)*E$61</f>
        <v>62804.474957829516</v>
      </c>
      <c r="W31" s="85">
        <f>VLOOKUP($Q31,Iedz_sk!$B$14:$R$123,7,FALSE)*F$61</f>
        <v>68870.576940584418</v>
      </c>
      <c r="X31" s="85">
        <f>VLOOKUP($Q31,Iedz_sk!$B$14:$R$123,8,FALSE)*G$61</f>
        <v>72313.837045440974</v>
      </c>
      <c r="Y31" s="91">
        <f>VLOOKUP($Q31,Iedz_sk!$B$14:$R$123,9,FALSE)*H$61</f>
        <v>85516.979414608999</v>
      </c>
      <c r="Z31" s="91">
        <f>VLOOKUP($Q31,Iedz_sk!$B$14:$R$123,10,FALSE)*I$61</f>
        <v>85459.475541820982</v>
      </c>
      <c r="AA31" s="91">
        <f>VLOOKUP($Q31,Iedz_sk!$B$14:$R$123,11,FALSE)*J$61</f>
        <v>91836.715314181172</v>
      </c>
      <c r="AB31" s="91">
        <f>VLOOKUP($Q31,Iedz_sk!$B$14:$R$123,16,FALSE)*K$61</f>
        <v>95068.384138131427</v>
      </c>
      <c r="AC31" s="162">
        <f>VLOOKUP($Q31,Iedz_sk!$B$14:$R$123,17,FALSE)*L$61</f>
        <v>97164.447247596312</v>
      </c>
      <c r="AD31" s="163">
        <f>VLOOKUP($Q31,Iedz_sk!$B$14:$Y$123,24,FALSE)*M$61</f>
        <v>104384.20930778763</v>
      </c>
    </row>
    <row r="32" spans="1:30" x14ac:dyDescent="0.35">
      <c r="A32" s="7" t="s">
        <v>309</v>
      </c>
      <c r="B32" s="92">
        <f t="shared" ref="B32:G32" si="8">B17-B23-B24</f>
        <v>1024519</v>
      </c>
      <c r="C32" s="92">
        <f t="shared" si="8"/>
        <v>1067571</v>
      </c>
      <c r="D32" s="92">
        <f t="shared" si="8"/>
        <v>1046281</v>
      </c>
      <c r="E32" s="92">
        <f t="shared" si="8"/>
        <v>1104438</v>
      </c>
      <c r="F32" s="92">
        <f t="shared" si="8"/>
        <v>1200471</v>
      </c>
      <c r="G32" s="92">
        <f t="shared" si="8"/>
        <v>1210655</v>
      </c>
      <c r="H32" s="91">
        <f t="shared" si="6"/>
        <v>1272682.2261548471</v>
      </c>
      <c r="I32" s="91">
        <f t="shared" si="6"/>
        <v>1225497.4809462351</v>
      </c>
      <c r="J32" s="91">
        <f t="shared" si="6"/>
        <v>1290448.8474363855</v>
      </c>
      <c r="K32" s="91">
        <f t="shared" si="6"/>
        <v>1356261.738655641</v>
      </c>
      <c r="L32" s="91">
        <f t="shared" si="6"/>
        <v>1407799.6847245554</v>
      </c>
      <c r="M32" s="163">
        <f>L32*(1+M$9*(M$4-L$4))</f>
        <v>1703437.618516712</v>
      </c>
      <c r="N32" s="3"/>
      <c r="O32" s="3"/>
      <c r="P32" s="82"/>
      <c r="Q32" s="3" t="s">
        <v>99</v>
      </c>
      <c r="R32" s="3" t="s">
        <v>292</v>
      </c>
      <c r="S32" s="85">
        <f>VLOOKUP($Q32,Iedz_sk!$B$14:$R$123,3,FALSE)*B$61</f>
        <v>22018.316050402809</v>
      </c>
      <c r="T32" s="85">
        <f>VLOOKUP($Q32,Iedz_sk!$B$14:$R$123,4,FALSE)*C$61</f>
        <v>21506.877622223343</v>
      </c>
      <c r="U32" s="85">
        <f>VLOOKUP($Q32,Iedz_sk!$B$14:$R$123,5,FALSE)*D$61</f>
        <v>22884.728547032202</v>
      </c>
      <c r="V32" s="85">
        <f>VLOOKUP($Q32,Iedz_sk!$B$14:$R$123,6,FALSE)*E$61</f>
        <v>24746.50841044882</v>
      </c>
      <c r="W32" s="85">
        <f>VLOOKUP($Q32,Iedz_sk!$B$14:$R$123,7,FALSE)*F$61</f>
        <v>26900.645444257589</v>
      </c>
      <c r="X32" s="85">
        <f>VLOOKUP($Q32,Iedz_sk!$B$14:$R$123,8,FALSE)*G$61</f>
        <v>27474.479906848985</v>
      </c>
      <c r="Y32" s="91">
        <f>VLOOKUP($Q32,Iedz_sk!$B$14:$R$123,9,FALSE)*H$61</f>
        <v>27859.787537398646</v>
      </c>
      <c r="Z32" s="91">
        <f>VLOOKUP($Q32,Iedz_sk!$B$14:$R$123,10,FALSE)*I$61</f>
        <v>26902.757327457253</v>
      </c>
      <c r="AA32" s="91">
        <f>VLOOKUP($Q32,Iedz_sk!$B$14:$R$123,11,FALSE)*J$61</f>
        <v>27905.1807657584</v>
      </c>
      <c r="AB32" s="91">
        <f>VLOOKUP($Q32,Iedz_sk!$B$14:$R$123,16,FALSE)*K$61</f>
        <v>29200.25897495477</v>
      </c>
      <c r="AC32" s="162">
        <f>VLOOKUP($Q32,Iedz_sk!$B$14:$R$123,17,FALSE)*L$61</f>
        <v>30190.330963638309</v>
      </c>
      <c r="AD32" s="163">
        <f>VLOOKUP($Q32,Iedz_sk!$B$14:$Y$123,24,FALSE)*M$61</f>
        <v>35422.991042517875</v>
      </c>
    </row>
    <row r="33" spans="1:30" x14ac:dyDescent="0.35">
      <c r="A33" s="7" t="s">
        <v>310</v>
      </c>
      <c r="B33" s="92">
        <f t="shared" ref="B33:G33" si="9">B18-B25-B26</f>
        <v>1032151</v>
      </c>
      <c r="C33" s="92">
        <f t="shared" si="9"/>
        <v>1113427</v>
      </c>
      <c r="D33" s="92">
        <f t="shared" si="9"/>
        <v>1145155</v>
      </c>
      <c r="E33" s="92">
        <f t="shared" si="9"/>
        <v>1161226</v>
      </c>
      <c r="F33" s="92">
        <f t="shared" si="9"/>
        <v>1180270</v>
      </c>
      <c r="G33" s="92">
        <f t="shared" si="9"/>
        <v>1205418</v>
      </c>
      <c r="H33" s="91">
        <f t="shared" si="6"/>
        <v>1267176.9114133453</v>
      </c>
      <c r="I33" s="91">
        <f t="shared" si="6"/>
        <v>1220196.2759723032</v>
      </c>
      <c r="J33" s="91">
        <f t="shared" si="6"/>
        <v>1284866.6785988351</v>
      </c>
      <c r="K33" s="91">
        <f t="shared" si="6"/>
        <v>1350394.8792073757</v>
      </c>
      <c r="L33" s="91">
        <f t="shared" si="6"/>
        <v>1401709.884617256</v>
      </c>
      <c r="M33" s="163">
        <f t="shared" si="7"/>
        <v>1696068.9603868797</v>
      </c>
      <c r="N33" s="3"/>
      <c r="O33" s="3"/>
      <c r="P33" s="82"/>
      <c r="Q33" s="3" t="s">
        <v>100</v>
      </c>
      <c r="R33" s="3" t="s">
        <v>292</v>
      </c>
      <c r="S33" s="85">
        <f>VLOOKUP($Q33,Iedz_sk!$B$14:$R$123,3,FALSE)*B$61</f>
        <v>167196.07312538731</v>
      </c>
      <c r="T33" s="85">
        <f>VLOOKUP($Q33,Iedz_sk!$B$14:$R$123,4,FALSE)*C$61</f>
        <v>165601.99022024154</v>
      </c>
      <c r="U33" s="85">
        <f>VLOOKUP($Q33,Iedz_sk!$B$14:$R$123,5,FALSE)*D$61</f>
        <v>177841.75320398915</v>
      </c>
      <c r="V33" s="85">
        <f>VLOOKUP($Q33,Iedz_sk!$B$14:$R$123,6,FALSE)*E$61</f>
        <v>191360.48898838143</v>
      </c>
      <c r="W33" s="85">
        <f>VLOOKUP($Q33,Iedz_sk!$B$14:$R$123,7,FALSE)*F$61</f>
        <v>212472.00873089131</v>
      </c>
      <c r="X33" s="85">
        <f>VLOOKUP($Q33,Iedz_sk!$B$14:$R$123,8,FALSE)*G$61</f>
        <v>217997.73828148324</v>
      </c>
      <c r="Y33" s="91">
        <f>VLOOKUP($Q33,Iedz_sk!$B$14:$R$123,9,FALSE)*H$61</f>
        <v>232527.10829498936</v>
      </c>
      <c r="Z33" s="91">
        <f>VLOOKUP($Q33,Iedz_sk!$B$14:$R$123,10,FALSE)*I$61</f>
        <v>224550.33785941437</v>
      </c>
      <c r="AA33" s="91">
        <f>VLOOKUP($Q33,Iedz_sk!$B$14:$R$123,11,FALSE)*J$61</f>
        <v>234566.97974229552</v>
      </c>
      <c r="AB33" s="91">
        <f>VLOOKUP($Q33,Iedz_sk!$B$14:$R$123,16,FALSE)*K$61</f>
        <v>247566.22374972192</v>
      </c>
      <c r="AC33" s="162">
        <f>VLOOKUP($Q33,Iedz_sk!$B$14:$R$123,17,FALSE)*L$61</f>
        <v>258056.12612834424</v>
      </c>
      <c r="AD33" s="163">
        <f>VLOOKUP($Q33,Iedz_sk!$B$14:$Y$123,24,FALSE)*M$61</f>
        <v>321625.25780474086</v>
      </c>
    </row>
    <row r="34" spans="1:30" x14ac:dyDescent="0.35">
      <c r="A34" s="7" t="s">
        <v>311</v>
      </c>
      <c r="B34" s="92">
        <f t="shared" ref="B34:G34" si="10">B19-B27-B28</f>
        <v>736036</v>
      </c>
      <c r="C34" s="92">
        <f t="shared" si="10"/>
        <v>742924</v>
      </c>
      <c r="D34" s="92">
        <f t="shared" si="10"/>
        <v>765516</v>
      </c>
      <c r="E34" s="92">
        <f t="shared" si="10"/>
        <v>774542</v>
      </c>
      <c r="F34" s="92">
        <f t="shared" si="10"/>
        <v>848787</v>
      </c>
      <c r="G34" s="92">
        <f t="shared" si="10"/>
        <v>895879</v>
      </c>
      <c r="H34" s="91">
        <f t="shared" si="6"/>
        <v>941778.85531830147</v>
      </c>
      <c r="I34" s="91">
        <f t="shared" si="6"/>
        <v>906862.36601891718</v>
      </c>
      <c r="J34" s="91">
        <f t="shared" si="6"/>
        <v>954926.07141791971</v>
      </c>
      <c r="K34" s="91">
        <f t="shared" si="6"/>
        <v>1003627.3010602335</v>
      </c>
      <c r="L34" s="91">
        <f t="shared" si="6"/>
        <v>1041765.1385005224</v>
      </c>
      <c r="M34" s="163">
        <f t="shared" si="7"/>
        <v>1260535.817585632</v>
      </c>
      <c r="N34" s="3"/>
      <c r="O34" s="3"/>
      <c r="P34" s="82"/>
      <c r="Q34" s="3" t="s">
        <v>104</v>
      </c>
      <c r="R34" s="3" t="s">
        <v>292</v>
      </c>
      <c r="S34" s="85">
        <f>VLOOKUP($Q34,Iedz_sk!$B$14:$R$123,3,FALSE)*B$61</f>
        <v>100356.8572608965</v>
      </c>
      <c r="T34" s="85">
        <f>VLOOKUP($Q34,Iedz_sk!$B$14:$R$123,4,FALSE)*C$61</f>
        <v>98633.656031744031</v>
      </c>
      <c r="U34" s="85">
        <f>VLOOKUP($Q34,Iedz_sk!$B$14:$R$123,5,FALSE)*D$61</f>
        <v>104916.57291257159</v>
      </c>
      <c r="V34" s="85">
        <f>VLOOKUP($Q34,Iedz_sk!$B$14:$R$123,6,FALSE)*E$61</f>
        <v>112992.8664575221</v>
      </c>
      <c r="W34" s="85">
        <f>VLOOKUP($Q34,Iedz_sk!$B$14:$R$123,7,FALSE)*F$61</f>
        <v>126722.35403100384</v>
      </c>
      <c r="X34" s="85">
        <f>VLOOKUP($Q34,Iedz_sk!$B$14:$R$123,8,FALSE)*G$61</f>
        <v>131927.80008359705</v>
      </c>
      <c r="Y34" s="91">
        <f>VLOOKUP($Q34,Iedz_sk!$B$14:$R$123,9,FALSE)*H$61</f>
        <v>141982.79879844375</v>
      </c>
      <c r="Z34" s="91">
        <f>VLOOKUP($Q34,Iedz_sk!$B$14:$R$123,10,FALSE)*I$61</f>
        <v>143817.19046573658</v>
      </c>
      <c r="AA34" s="91">
        <f>VLOOKUP($Q34,Iedz_sk!$B$14:$R$123,11,FALSE)*J$61</f>
        <v>158285.03511065469</v>
      </c>
      <c r="AB34" s="91">
        <f>VLOOKUP($Q34,Iedz_sk!$B$14:$R$123,16,FALSE)*K$61</f>
        <v>165436.22134007161</v>
      </c>
      <c r="AC34" s="162">
        <f>VLOOKUP($Q34,Iedz_sk!$B$14:$R$123,17,FALSE)*L$61</f>
        <v>170774.74005469368</v>
      </c>
      <c r="AD34" s="163">
        <f>VLOOKUP($Q34,Iedz_sk!$B$14:$Y$123,24,FALSE)*M$61</f>
        <v>198322.95183874128</v>
      </c>
    </row>
    <row r="35" spans="1:30" x14ac:dyDescent="0.35">
      <c r="A35" s="225" t="s">
        <v>404</v>
      </c>
      <c r="B35" s="225"/>
      <c r="C35" s="225"/>
      <c r="D35" s="225"/>
      <c r="E35" s="225"/>
      <c r="F35" s="225"/>
      <c r="G35" s="225"/>
      <c r="H35" s="95">
        <f t="shared" ref="H35:M35" si="11">SUM(H20:H34)</f>
        <v>30594011.666551348</v>
      </c>
      <c r="I35" s="95">
        <f t="shared" si="11"/>
        <v>29459737.441824425</v>
      </c>
      <c r="J35" s="95">
        <f t="shared" si="11"/>
        <v>31021103.526241116</v>
      </c>
      <c r="K35" s="95">
        <f t="shared" si="11"/>
        <v>32603179.806079414</v>
      </c>
      <c r="L35" s="95">
        <f t="shared" si="11"/>
        <v>33842100.638710424</v>
      </c>
      <c r="M35" s="95">
        <f t="shared" si="11"/>
        <v>40948941.772839613</v>
      </c>
      <c r="P35" s="82"/>
      <c r="Q35" s="3" t="s">
        <v>108</v>
      </c>
      <c r="R35" s="3" t="s">
        <v>292</v>
      </c>
      <c r="S35" s="85">
        <f>VLOOKUP($Q35,Iedz_sk!$B$14:$R$123,3,FALSE)*B$61</f>
        <v>291345.65213798801</v>
      </c>
      <c r="T35" s="85">
        <f>VLOOKUP($Q35,Iedz_sk!$B$14:$R$123,4,FALSE)*C$61</f>
        <v>282278.97813027911</v>
      </c>
      <c r="U35" s="85">
        <f>VLOOKUP($Q35,Iedz_sk!$B$14:$R$123,5,FALSE)*D$61</f>
        <v>298446.0180052396</v>
      </c>
      <c r="V35" s="85">
        <f>VLOOKUP($Q35,Iedz_sk!$B$14:$R$123,6,FALSE)*E$61</f>
        <v>316527.93117147224</v>
      </c>
      <c r="W35" s="85">
        <f>VLOOKUP($Q35,Iedz_sk!$B$14:$R$123,7,FALSE)*F$61</f>
        <v>347443.07326425327</v>
      </c>
      <c r="X35" s="85">
        <f>VLOOKUP($Q35,Iedz_sk!$B$14:$R$123,8,FALSE)*G$61</f>
        <v>350830.87591807486</v>
      </c>
      <c r="Y35" s="91">
        <f>VLOOKUP($Q35,Iedz_sk!$B$14:$R$123,9,FALSE)*H$61</f>
        <v>364586.16698377702</v>
      </c>
      <c r="Z35" s="91">
        <f>VLOOKUP($Q35,Iedz_sk!$B$14:$R$123,10,FALSE)*I$61</f>
        <v>344499.57117702777</v>
      </c>
      <c r="AA35" s="91">
        <f>VLOOKUP($Q35,Iedz_sk!$B$14:$R$123,11,FALSE)*J$61</f>
        <v>358239.73113233491</v>
      </c>
      <c r="AB35" s="91">
        <f>VLOOKUP($Q35,Iedz_sk!$B$14:$R$123,16,FALSE)*K$61</f>
        <v>371465.58958303119</v>
      </c>
      <c r="AC35" s="162">
        <f>VLOOKUP($Q35,Iedz_sk!$B$14:$R$123,17,FALSE)*L$61</f>
        <v>380326.96653107938</v>
      </c>
      <c r="AD35" s="163">
        <f>VLOOKUP($Q35,Iedz_sk!$B$14:$Y$123,24,FALSE)*M$61</f>
        <v>414489.50881227653</v>
      </c>
    </row>
    <row r="36" spans="1:30" x14ac:dyDescent="0.35">
      <c r="A36" s="215" t="s">
        <v>405</v>
      </c>
      <c r="B36" s="215"/>
      <c r="C36" s="215"/>
      <c r="D36" s="215"/>
      <c r="E36" s="215"/>
      <c r="F36" s="215"/>
      <c r="G36" s="215"/>
      <c r="H36" s="215"/>
      <c r="I36" s="215"/>
      <c r="J36" s="215"/>
      <c r="K36" s="215"/>
      <c r="L36" s="215"/>
      <c r="M36" s="215"/>
      <c r="N36" s="215"/>
      <c r="O36" s="215"/>
      <c r="P36" s="82"/>
      <c r="Q36" s="3" t="s">
        <v>16</v>
      </c>
      <c r="R36" s="3" t="s">
        <v>294</v>
      </c>
      <c r="S36" s="85">
        <f>VLOOKUP($Q36,Iedz_sk!$B$14:$R$123,3,FALSE)*B$62</f>
        <v>100945.29885924025</v>
      </c>
      <c r="T36" s="85">
        <f>VLOOKUP($Q36,Iedz_sk!$B$14:$R$123,4,FALSE)*C$62</f>
        <v>112814.24526248472</v>
      </c>
      <c r="U36" s="85">
        <f>VLOOKUP($Q36,Iedz_sk!$B$14:$R$123,5,FALSE)*D$62</f>
        <v>111257.23989863037</v>
      </c>
      <c r="V36" s="85">
        <f>VLOOKUP($Q36,Iedz_sk!$B$14:$R$123,6,FALSE)*E$62</f>
        <v>114162.18929088279</v>
      </c>
      <c r="W36" s="85">
        <f>VLOOKUP($Q36,Iedz_sk!$B$14:$R$123,7,FALSE)*F$62</f>
        <v>116921.94933454953</v>
      </c>
      <c r="X36" s="85">
        <f>VLOOKUP($Q36,Iedz_sk!$B$14:$R$123,8,FALSE)*G$62</f>
        <v>124335.36248949713</v>
      </c>
      <c r="Y36" s="91">
        <f>VLOOKUP($Q36,Iedz_sk!$B$14:$R$123,9,FALSE)*H$62</f>
        <v>129754.79803689984</v>
      </c>
      <c r="Z36" s="91">
        <f>VLOOKUP($Q36,Iedz_sk!$B$14:$R$123,10,FALSE)*I$62</f>
        <v>124397.41361339488</v>
      </c>
      <c r="AA36" s="91">
        <f>VLOOKUP($Q36,Iedz_sk!$B$14:$R$123,11,FALSE)*J$62</f>
        <v>130893.41369186182</v>
      </c>
      <c r="AB36" s="91">
        <f>VLOOKUP($Q36,Iedz_sk!$B$14:$R$123,16,FALSE)*K$62</f>
        <v>136451.99055149566</v>
      </c>
      <c r="AC36" s="162">
        <f>VLOOKUP($Q36,Iedz_sk!$B$14:$R$123,17,FALSE)*L$62</f>
        <v>140408.77439595995</v>
      </c>
      <c r="AD36" s="163">
        <f>VLOOKUP($Q36,Iedz_sk!$B$14:$Y$123,24,FALSE)*M$62</f>
        <v>157135.95206718461</v>
      </c>
    </row>
    <row r="37" spans="1:30" ht="14.4" customHeight="1" x14ac:dyDescent="0.35">
      <c r="A37" s="19" t="s">
        <v>1</v>
      </c>
      <c r="B37" s="3">
        <v>643615</v>
      </c>
      <c r="C37" s="3">
        <v>643368</v>
      </c>
      <c r="D37" s="3">
        <v>641007</v>
      </c>
      <c r="E37" s="3">
        <v>639630</v>
      </c>
      <c r="F37" s="3">
        <v>641423</v>
      </c>
      <c r="G37" s="3">
        <v>637971</v>
      </c>
      <c r="H37" s="3">
        <v>632614</v>
      </c>
      <c r="I37" s="3">
        <v>621120</v>
      </c>
      <c r="J37" s="3">
        <v>614618</v>
      </c>
      <c r="K37" s="93">
        <v>615772</v>
      </c>
      <c r="L37" s="93">
        <v>616925</v>
      </c>
      <c r="M37" s="169">
        <v>625000</v>
      </c>
      <c r="N37" s="229" t="s">
        <v>403</v>
      </c>
      <c r="O37" s="226" t="s">
        <v>120</v>
      </c>
      <c r="P37" s="82"/>
      <c r="Q37" s="3" t="s">
        <v>17</v>
      </c>
      <c r="R37" s="3" t="s">
        <v>294</v>
      </c>
      <c r="S37" s="85">
        <f>VLOOKUP($Q37,Iedz_sk!$B$14:$R$123,3,FALSE)*B$62</f>
        <v>34363.702967736252</v>
      </c>
      <c r="T37" s="85">
        <f>VLOOKUP($Q37,Iedz_sk!$B$14:$R$123,4,FALSE)*C$62</f>
        <v>38579.477061338061</v>
      </c>
      <c r="U37" s="85">
        <f>VLOOKUP($Q37,Iedz_sk!$B$14:$R$123,5,FALSE)*D$62</f>
        <v>38308.666192089753</v>
      </c>
      <c r="V37" s="85">
        <f>VLOOKUP($Q37,Iedz_sk!$B$14:$R$123,6,FALSE)*E$62</f>
        <v>39612.74327062229</v>
      </c>
      <c r="W37" s="85">
        <f>VLOOKUP($Q37,Iedz_sk!$B$14:$R$123,7,FALSE)*F$62</f>
        <v>40525.511843063854</v>
      </c>
      <c r="X37" s="85">
        <f>VLOOKUP($Q37,Iedz_sk!$B$14:$R$123,8,FALSE)*G$62</f>
        <v>42982.989119330719</v>
      </c>
      <c r="Y37" s="91">
        <f>VLOOKUP($Q37,Iedz_sk!$B$14:$R$123,9,FALSE)*H$62</f>
        <v>45684.177108589829</v>
      </c>
      <c r="Z37" s="91">
        <f>VLOOKUP($Q37,Iedz_sk!$B$14:$R$123,10,FALSE)*I$62</f>
        <v>44694.529816399809</v>
      </c>
      <c r="AA37" s="91">
        <f>VLOOKUP($Q37,Iedz_sk!$B$14:$R$123,11,FALSE)*J$62</f>
        <v>47613.0576317991</v>
      </c>
      <c r="AB37" s="91">
        <f>VLOOKUP($Q37,Iedz_sk!$B$14:$R$123,16,FALSE)*K$62</f>
        <v>49785.164088036385</v>
      </c>
      <c r="AC37" s="162">
        <f>VLOOKUP($Q37,Iedz_sk!$B$14:$R$123,17,FALSE)*L$62</f>
        <v>51397.518739496656</v>
      </c>
      <c r="AD37" s="163">
        <f>VLOOKUP($Q37,Iedz_sk!$B$14:$Y$123,24,FALSE)*M$62</f>
        <v>59270.440282681928</v>
      </c>
    </row>
    <row r="38" spans="1:30" x14ac:dyDescent="0.35">
      <c r="A38" s="19" t="s">
        <v>4</v>
      </c>
      <c r="B38" s="3">
        <v>50481</v>
      </c>
      <c r="C38" s="3">
        <v>49750</v>
      </c>
      <c r="D38" s="3">
        <v>49646</v>
      </c>
      <c r="E38" s="3">
        <v>49182</v>
      </c>
      <c r="F38" s="3">
        <v>48606</v>
      </c>
      <c r="G38" s="3">
        <v>49073</v>
      </c>
      <c r="H38" s="3">
        <v>49325</v>
      </c>
      <c r="I38" s="3">
        <v>49985</v>
      </c>
      <c r="J38" s="3">
        <v>50248</v>
      </c>
      <c r="K38" s="93">
        <v>49821</v>
      </c>
      <c r="L38" s="93">
        <v>49394</v>
      </c>
      <c r="M38" s="169">
        <v>46404</v>
      </c>
      <c r="N38" s="230"/>
      <c r="O38" s="227"/>
      <c r="P38" s="82"/>
      <c r="Q38" s="3" t="s">
        <v>18</v>
      </c>
      <c r="R38" s="3" t="s">
        <v>294</v>
      </c>
      <c r="S38" s="85">
        <f>VLOOKUP($Q38,Iedz_sk!$B$14:$R$123,3,FALSE)*B$62</f>
        <v>22859.947689039793</v>
      </c>
      <c r="T38" s="85">
        <f>VLOOKUP($Q38,Iedz_sk!$B$14:$R$123,4,FALSE)*C$62</f>
        <v>25731.423459255686</v>
      </c>
      <c r="U38" s="85">
        <f>VLOOKUP($Q38,Iedz_sk!$B$14:$R$123,5,FALSE)*D$62</f>
        <v>25446.680828041801</v>
      </c>
      <c r="V38" s="85">
        <f>VLOOKUP($Q38,Iedz_sk!$B$14:$R$123,6,FALSE)*E$62</f>
        <v>26185.826917510854</v>
      </c>
      <c r="W38" s="85">
        <f>VLOOKUP($Q38,Iedz_sk!$B$14:$R$123,7,FALSE)*F$62</f>
        <v>26805.079012989168</v>
      </c>
      <c r="X38" s="85">
        <f>VLOOKUP($Q38,Iedz_sk!$B$14:$R$123,8,FALSE)*G$62</f>
        <v>28738.376694815361</v>
      </c>
      <c r="Y38" s="91">
        <f>VLOOKUP($Q38,Iedz_sk!$B$14:$R$123,9,FALSE)*H$62</f>
        <v>30208.581892996888</v>
      </c>
      <c r="Z38" s="91">
        <f>VLOOKUP($Q38,Iedz_sk!$B$14:$R$123,10,FALSE)*I$62</f>
        <v>28863.741521684504</v>
      </c>
      <c r="AA38" s="91">
        <f>VLOOKUP($Q38,Iedz_sk!$B$14:$R$123,11,FALSE)*J$62</f>
        <v>30265.737744925846</v>
      </c>
      <c r="AB38" s="91">
        <f>VLOOKUP($Q38,Iedz_sk!$B$14:$R$123,16,FALSE)*K$62</f>
        <v>31740.582165515443</v>
      </c>
      <c r="AC38" s="162">
        <f>VLOOKUP($Q38,Iedz_sk!$B$14:$R$123,17,FALSE)*L$62</f>
        <v>32871.511039152654</v>
      </c>
      <c r="AD38" s="163">
        <f>VLOOKUP($Q38,Iedz_sk!$B$14:$Y$123,24,FALSE)*M$62</f>
        <v>38988.73808180671</v>
      </c>
    </row>
    <row r="39" spans="1:30" x14ac:dyDescent="0.35">
      <c r="A39" s="19" t="s">
        <v>8</v>
      </c>
      <c r="B39" s="3">
        <v>24228</v>
      </c>
      <c r="C39" s="3">
        <v>23657</v>
      </c>
      <c r="D39" s="3">
        <v>23432</v>
      </c>
      <c r="E39" s="3">
        <v>23248</v>
      </c>
      <c r="F39" s="3">
        <v>22961</v>
      </c>
      <c r="G39" s="3">
        <v>23063</v>
      </c>
      <c r="H39" s="3">
        <v>23125</v>
      </c>
      <c r="I39" s="3">
        <v>23018</v>
      </c>
      <c r="J39" s="3">
        <v>22971</v>
      </c>
      <c r="K39" s="93">
        <v>22974</v>
      </c>
      <c r="L39" s="93">
        <v>22977</v>
      </c>
      <c r="M39" s="169">
        <v>23000</v>
      </c>
      <c r="N39" s="230"/>
      <c r="O39" s="227"/>
      <c r="P39" s="82"/>
      <c r="Q39" s="3" t="s">
        <v>26</v>
      </c>
      <c r="R39" s="3" t="s">
        <v>294</v>
      </c>
      <c r="S39" s="85">
        <f>VLOOKUP($Q39,Iedz_sk!$B$14:$R$123,3,FALSE)*B$62</f>
        <v>20283.745945707979</v>
      </c>
      <c r="T39" s="85">
        <f>VLOOKUP($Q39,Iedz_sk!$B$14:$R$123,4,FALSE)*C$62</f>
        <v>22821.364039762593</v>
      </c>
      <c r="U39" s="85">
        <f>VLOOKUP($Q39,Iedz_sk!$B$14:$R$123,5,FALSE)*D$62</f>
        <v>22652.451835188931</v>
      </c>
      <c r="V39" s="85">
        <f>VLOOKUP($Q39,Iedz_sk!$B$14:$R$123,6,FALSE)*E$62</f>
        <v>23305.979739507959</v>
      </c>
      <c r="W39" s="85">
        <f>VLOOKUP($Q39,Iedz_sk!$B$14:$R$123,7,FALSE)*F$62</f>
        <v>23947.963709701304</v>
      </c>
      <c r="X39" s="85">
        <f>VLOOKUP($Q39,Iedz_sk!$B$14:$R$123,8,FALSE)*G$62</f>
        <v>25825.877532022416</v>
      </c>
      <c r="Y39" s="91">
        <f>VLOOKUP($Q39,Iedz_sk!$B$14:$R$123,9,FALSE)*H$62</f>
        <v>27036.451594066108</v>
      </c>
      <c r="Z39" s="91">
        <f>VLOOKUP($Q39,Iedz_sk!$B$14:$R$123,10,FALSE)*I$62</f>
        <v>26473.186242281186</v>
      </c>
      <c r="AA39" s="91">
        <f>VLOOKUP($Q39,Iedz_sk!$B$14:$R$123,11,FALSE)*J$62</f>
        <v>27838.812752587019</v>
      </c>
      <c r="AB39" s="91">
        <f>VLOOKUP($Q39,Iedz_sk!$B$14:$R$123,16,FALSE)*K$62</f>
        <v>29413.887762217419</v>
      </c>
      <c r="AC39" s="162">
        <f>VLOOKUP($Q39,Iedz_sk!$B$14:$R$123,17,FALSE)*L$62</f>
        <v>30700.24133199863</v>
      </c>
      <c r="AD39" s="163">
        <f>VLOOKUP($Q39,Iedz_sk!$B$14:$Y$123,24,FALSE)*M$62</f>
        <v>38878.511439410649</v>
      </c>
    </row>
    <row r="40" spans="1:30" x14ac:dyDescent="0.35">
      <c r="A40" s="19" t="s">
        <v>6</v>
      </c>
      <c r="B40" s="3">
        <v>73469</v>
      </c>
      <c r="C40" s="3">
        <v>71926</v>
      </c>
      <c r="D40" s="3">
        <v>71125</v>
      </c>
      <c r="E40" s="3">
        <v>70630</v>
      </c>
      <c r="F40" s="3">
        <v>69443</v>
      </c>
      <c r="G40" s="3">
        <v>69180</v>
      </c>
      <c r="H40" s="3">
        <v>68945</v>
      </c>
      <c r="I40" s="3">
        <v>68313</v>
      </c>
      <c r="J40" s="3">
        <v>67964</v>
      </c>
      <c r="K40" s="93">
        <v>66775</v>
      </c>
      <c r="L40" s="93">
        <v>65587</v>
      </c>
      <c r="M40" s="169">
        <v>57267</v>
      </c>
      <c r="N40" s="230"/>
      <c r="O40" s="227"/>
      <c r="P40" s="82"/>
      <c r="Q40" s="3" t="s">
        <v>28</v>
      </c>
      <c r="R40" s="3" t="s">
        <v>294</v>
      </c>
      <c r="S40" s="85">
        <f>VLOOKUP($Q40,Iedz_sk!$B$14:$R$123,3,FALSE)*B$62</f>
        <v>50183.672145761906</v>
      </c>
      <c r="T40" s="85">
        <f>VLOOKUP($Q40,Iedz_sk!$B$14:$R$123,4,FALSE)*C$62</f>
        <v>57410.104275824931</v>
      </c>
      <c r="U40" s="85">
        <f>VLOOKUP($Q40,Iedz_sk!$B$14:$R$123,5,FALSE)*D$62</f>
        <v>57676.299211253172</v>
      </c>
      <c r="V40" s="85">
        <f>VLOOKUP($Q40,Iedz_sk!$B$14:$R$123,6,FALSE)*E$62</f>
        <v>60491.635311143269</v>
      </c>
      <c r="W40" s="85">
        <f>VLOOKUP($Q40,Iedz_sk!$B$14:$R$123,7,FALSE)*F$62</f>
        <v>62613.210918481578</v>
      </c>
      <c r="X40" s="85">
        <f>VLOOKUP($Q40,Iedz_sk!$B$14:$R$123,8,FALSE)*G$62</f>
        <v>65157.503394164334</v>
      </c>
      <c r="Y40" s="91">
        <f>VLOOKUP($Q40,Iedz_sk!$B$14:$R$123,9,FALSE)*H$62</f>
        <v>68622.529732649986</v>
      </c>
      <c r="Z40" s="91">
        <f>VLOOKUP($Q40,Iedz_sk!$B$14:$R$123,10,FALSE)*I$62</f>
        <v>65784.539725802417</v>
      </c>
      <c r="AA40" s="91">
        <f>VLOOKUP($Q40,Iedz_sk!$B$14:$R$123,11,FALSE)*J$62</f>
        <v>69974.763397784875</v>
      </c>
      <c r="AB40" s="91">
        <f>VLOOKUP($Q40,Iedz_sk!$B$14:$R$123,16,FALSE)*K$62</f>
        <v>74311.977579571045</v>
      </c>
      <c r="AC40" s="162">
        <f>VLOOKUP($Q40,Iedz_sk!$B$14:$R$123,17,FALSE)*L$62</f>
        <v>77971.267394217488</v>
      </c>
      <c r="AD40" s="163">
        <f>VLOOKUP($Q40,Iedz_sk!$B$14:$Y$123,24,FALSE)*M$62</f>
        <v>103061.910640317</v>
      </c>
    </row>
    <row r="41" spans="1:30" x14ac:dyDescent="0.35">
      <c r="A41" s="19" t="s">
        <v>9</v>
      </c>
      <c r="B41" s="3">
        <v>37336</v>
      </c>
      <c r="C41" s="3">
        <v>36677</v>
      </c>
      <c r="D41" s="3">
        <v>36274</v>
      </c>
      <c r="E41" s="3">
        <v>35903</v>
      </c>
      <c r="F41" s="3">
        <v>35362</v>
      </c>
      <c r="G41" s="3">
        <v>34855</v>
      </c>
      <c r="H41" s="3">
        <v>34377</v>
      </c>
      <c r="I41" s="3">
        <v>33799</v>
      </c>
      <c r="J41" s="3">
        <v>33372</v>
      </c>
      <c r="K41" s="93">
        <v>32851</v>
      </c>
      <c r="L41" s="93">
        <v>32329</v>
      </c>
      <c r="M41" s="169">
        <v>28680</v>
      </c>
      <c r="N41" s="230"/>
      <c r="O41" s="227"/>
      <c r="P41" s="82"/>
      <c r="Q41" s="3" t="s">
        <v>30</v>
      </c>
      <c r="R41" s="3" t="s">
        <v>294</v>
      </c>
      <c r="S41" s="85">
        <f>VLOOKUP($Q41,Iedz_sk!$B$14:$R$123,3,FALSE)*B$62</f>
        <v>17055.808200483159</v>
      </c>
      <c r="T41" s="85">
        <f>VLOOKUP($Q41,Iedz_sk!$B$14:$R$123,4,FALSE)*C$62</f>
        <v>19049.587996050668</v>
      </c>
      <c r="U41" s="85">
        <f>VLOOKUP($Q41,Iedz_sk!$B$14:$R$123,5,FALSE)*D$62</f>
        <v>18606.863293373957</v>
      </c>
      <c r="V41" s="85">
        <f>VLOOKUP($Q41,Iedz_sk!$B$14:$R$123,6,FALSE)*E$62</f>
        <v>19001.053545586106</v>
      </c>
      <c r="W41" s="85">
        <f>VLOOKUP($Q41,Iedz_sk!$B$14:$R$123,7,FALSE)*F$62</f>
        <v>19599.497011840103</v>
      </c>
      <c r="X41" s="85">
        <f>VLOOKUP($Q41,Iedz_sk!$B$14:$R$123,8,FALSE)*G$62</f>
        <v>20808.474844497101</v>
      </c>
      <c r="Y41" s="91">
        <f>VLOOKUP($Q41,Iedz_sk!$B$14:$R$123,9,FALSE)*H$62</f>
        <v>21443.967541037851</v>
      </c>
      <c r="Z41" s="91">
        <f>VLOOKUP($Q41,Iedz_sk!$B$14:$R$123,10,FALSE)*I$62</f>
        <v>20443.674593119486</v>
      </c>
      <c r="AA41" s="91">
        <f>VLOOKUP($Q41,Iedz_sk!$B$14:$R$123,11,FALSE)*J$62</f>
        <v>21275.727656573457</v>
      </c>
      <c r="AB41" s="91">
        <f>VLOOKUP($Q41,Iedz_sk!$B$14:$R$123,16,FALSE)*K$62</f>
        <v>22332.202176633466</v>
      </c>
      <c r="AC41" s="162">
        <f>VLOOKUP($Q41,Iedz_sk!$B$14:$R$123,17,FALSE)*L$62</f>
        <v>23160.210209642879</v>
      </c>
      <c r="AD41" s="163">
        <f>VLOOKUP($Q41,Iedz_sk!$B$14:$Y$123,24,FALSE)*M$62</f>
        <v>27745.620557408489</v>
      </c>
    </row>
    <row r="42" spans="1:30" x14ac:dyDescent="0.35">
      <c r="A42" s="19" t="s">
        <v>5</v>
      </c>
      <c r="B42" s="3">
        <v>57773</v>
      </c>
      <c r="C42" s="3">
        <v>57332</v>
      </c>
      <c r="D42" s="3">
        <v>57180</v>
      </c>
      <c r="E42" s="3">
        <v>57053</v>
      </c>
      <c r="F42" s="3">
        <v>56743</v>
      </c>
      <c r="G42" s="3">
        <v>56383</v>
      </c>
      <c r="H42" s="3">
        <v>55972</v>
      </c>
      <c r="I42" s="3">
        <v>55517</v>
      </c>
      <c r="J42" s="3">
        <v>55336</v>
      </c>
      <c r="K42" s="93">
        <v>54885</v>
      </c>
      <c r="L42" s="93">
        <v>54435</v>
      </c>
      <c r="M42" s="169">
        <v>51280</v>
      </c>
      <c r="N42" s="230"/>
      <c r="O42" s="227"/>
      <c r="P42" s="82"/>
      <c r="Q42" s="3" t="s">
        <v>31</v>
      </c>
      <c r="R42" s="3" t="s">
        <v>294</v>
      </c>
      <c r="S42" s="85">
        <f>VLOOKUP($Q42,Iedz_sk!$B$14:$R$123,3,FALSE)*B$62</f>
        <v>107837.71450190127</v>
      </c>
      <c r="T42" s="85">
        <f>VLOOKUP($Q42,Iedz_sk!$B$14:$R$123,4,FALSE)*C$62</f>
        <v>121777.51080456417</v>
      </c>
      <c r="U42" s="85">
        <f>VLOOKUP($Q42,Iedz_sk!$B$14:$R$123,5,FALSE)*D$62</f>
        <v>121147.24633389333</v>
      </c>
      <c r="V42" s="85">
        <f>VLOOKUP($Q42,Iedz_sk!$B$14:$R$123,6,FALSE)*E$62</f>
        <v>124917.08248914617</v>
      </c>
      <c r="W42" s="85">
        <f>VLOOKUP($Q42,Iedz_sk!$B$14:$R$123,7,FALSE)*F$62</f>
        <v>130516.79467876541</v>
      </c>
      <c r="X42" s="85">
        <f>VLOOKUP($Q42,Iedz_sk!$B$14:$R$123,8,FALSE)*G$62</f>
        <v>141664.30293596725</v>
      </c>
      <c r="Y42" s="91">
        <f>VLOOKUP($Q42,Iedz_sk!$B$14:$R$123,9,FALSE)*H$62</f>
        <v>150098.60478062066</v>
      </c>
      <c r="Z42" s="91">
        <f>VLOOKUP($Q42,Iedz_sk!$B$14:$R$123,10,FALSE)*I$62</f>
        <v>143663.51838369717</v>
      </c>
      <c r="AA42" s="91">
        <f>VLOOKUP($Q42,Iedz_sk!$B$14:$R$123,11,FALSE)*J$62</f>
        <v>152442.99669776534</v>
      </c>
      <c r="AB42" s="91">
        <f>VLOOKUP($Q42,Iedz_sk!$B$14:$R$123,16,FALSE)*K$62</f>
        <v>160379.35002646007</v>
      </c>
      <c r="AC42" s="162">
        <f>VLOOKUP($Q42,Iedz_sk!$B$14:$R$123,17,FALSE)*L$62</f>
        <v>166636.84827143239</v>
      </c>
      <c r="AD42" s="163">
        <f>VLOOKUP($Q42,Iedz_sk!$B$14:$Y$123,24,FALSE)*M$62</f>
        <v>203415.39521033078</v>
      </c>
    </row>
    <row r="43" spans="1:30" x14ac:dyDescent="0.35">
      <c r="A43" s="19" t="s">
        <v>3</v>
      </c>
      <c r="B43" s="3">
        <v>23834</v>
      </c>
      <c r="C43" s="3">
        <v>23269</v>
      </c>
      <c r="D43" s="3">
        <v>23019</v>
      </c>
      <c r="E43" s="3">
        <v>22750</v>
      </c>
      <c r="F43" s="3">
        <v>22412</v>
      </c>
      <c r="G43" s="3">
        <v>22188</v>
      </c>
      <c r="H43" s="3">
        <v>22076</v>
      </c>
      <c r="I43" s="3">
        <v>21836</v>
      </c>
      <c r="J43" s="3">
        <v>21629</v>
      </c>
      <c r="K43" s="93">
        <v>21261</v>
      </c>
      <c r="L43" s="93">
        <v>20893</v>
      </c>
      <c r="M43" s="169">
        <v>18315</v>
      </c>
      <c r="N43" s="230"/>
      <c r="O43" s="227"/>
      <c r="P43" s="82"/>
      <c r="Q43" s="3" t="s">
        <v>39</v>
      </c>
      <c r="R43" s="3" t="s">
        <v>294</v>
      </c>
      <c r="S43" s="85">
        <f>VLOOKUP($Q43,Iedz_sk!$B$14:$R$123,3,FALSE)*B$62</f>
        <v>18808.117262176635</v>
      </c>
      <c r="T43" s="85">
        <f>VLOOKUP($Q43,Iedz_sk!$B$14:$R$123,4,FALSE)*C$62</f>
        <v>21104.994042343122</v>
      </c>
      <c r="U43" s="85">
        <f>VLOOKUP($Q43,Iedz_sk!$B$14:$R$123,5,FALSE)*D$62</f>
        <v>20924.722457928758</v>
      </c>
      <c r="V43" s="85">
        <f>VLOOKUP($Q43,Iedz_sk!$B$14:$R$123,6,FALSE)*E$62</f>
        <v>21739.877279305354</v>
      </c>
      <c r="W43" s="85">
        <f>VLOOKUP($Q43,Iedz_sk!$B$14:$R$123,7,FALSE)*F$62</f>
        <v>22009.206896755968</v>
      </c>
      <c r="X43" s="85">
        <f>VLOOKUP($Q43,Iedz_sk!$B$14:$R$123,8,FALSE)*G$62</f>
        <v>23600.69380587677</v>
      </c>
      <c r="Y43" s="91">
        <f>VLOOKUP($Q43,Iedz_sk!$B$14:$R$123,9,FALSE)*H$62</f>
        <v>24652.769866545867</v>
      </c>
      <c r="Z43" s="91">
        <f>VLOOKUP($Q43,Iedz_sk!$B$14:$R$123,10,FALSE)*I$62</f>
        <v>23728.47462518849</v>
      </c>
      <c r="AA43" s="91">
        <f>VLOOKUP($Q43,Iedz_sk!$B$14:$R$123,11,FALSE)*J$62</f>
        <v>24552.54856062627</v>
      </c>
      <c r="AB43" s="91">
        <f>VLOOKUP($Q43,Iedz_sk!$B$14:$R$123,16,FALSE)*K$62</f>
        <v>25735.881762244117</v>
      </c>
      <c r="AC43" s="162">
        <f>VLOOKUP($Q43,Iedz_sk!$B$14:$R$123,17,FALSE)*L$62</f>
        <v>26638.562675829919</v>
      </c>
      <c r="AD43" s="163">
        <f>VLOOKUP($Q43,Iedz_sk!$B$14:$Y$123,24,FALSE)*M$62</f>
        <v>31461.833072475685</v>
      </c>
    </row>
    <row r="44" spans="1:30" x14ac:dyDescent="0.35">
      <c r="A44" s="19" t="s">
        <v>2</v>
      </c>
      <c r="B44" s="3">
        <v>89184</v>
      </c>
      <c r="C44" s="3">
        <v>87403</v>
      </c>
      <c r="D44" s="3">
        <v>86435</v>
      </c>
      <c r="E44" s="3">
        <v>85858</v>
      </c>
      <c r="F44" s="3">
        <v>84592</v>
      </c>
      <c r="G44" s="3">
        <v>83250</v>
      </c>
      <c r="H44" s="3">
        <v>82604</v>
      </c>
      <c r="I44" s="3">
        <v>81587</v>
      </c>
      <c r="J44" s="3">
        <v>80627</v>
      </c>
      <c r="K44" s="93">
        <v>79117</v>
      </c>
      <c r="L44" s="93">
        <v>77607</v>
      </c>
      <c r="M44" s="169">
        <v>67039</v>
      </c>
      <c r="N44" s="230"/>
      <c r="O44" s="227"/>
      <c r="P44" s="82"/>
      <c r="Q44" s="3" t="s">
        <v>42</v>
      </c>
      <c r="R44" s="3" t="s">
        <v>294</v>
      </c>
      <c r="S44" s="85">
        <f>VLOOKUP($Q44,Iedz_sk!$B$14:$R$123,3,FALSE)*B$62</f>
        <v>137571.63247505791</v>
      </c>
      <c r="T44" s="85">
        <f>VLOOKUP($Q44,Iedz_sk!$B$14:$R$123,4,FALSE)*C$62</f>
        <v>154932.41108393454</v>
      </c>
      <c r="U44" s="85">
        <f>VLOOKUP($Q44,Iedz_sk!$B$14:$R$123,5,FALSE)*D$62</f>
        <v>153860.34454284006</v>
      </c>
      <c r="V44" s="85">
        <f>VLOOKUP($Q44,Iedz_sk!$B$14:$R$123,6,FALSE)*E$62</f>
        <v>157679.05528219973</v>
      </c>
      <c r="W44" s="85">
        <f>VLOOKUP($Q44,Iedz_sk!$B$14:$R$123,7,FALSE)*F$62</f>
        <v>163302.97770578027</v>
      </c>
      <c r="X44" s="85">
        <f>VLOOKUP($Q44,Iedz_sk!$B$14:$R$123,8,FALSE)*G$62</f>
        <v>175531.77107676311</v>
      </c>
      <c r="Y44" s="91">
        <f>VLOOKUP($Q44,Iedz_sk!$B$14:$R$123,9,FALSE)*H$62</f>
        <v>184084.40541107269</v>
      </c>
      <c r="Z44" s="91">
        <f>VLOOKUP($Q44,Iedz_sk!$B$14:$R$123,10,FALSE)*I$62</f>
        <v>177087.02275313245</v>
      </c>
      <c r="AA44" s="91">
        <f>VLOOKUP($Q44,Iedz_sk!$B$14:$R$123,11,FALSE)*J$62</f>
        <v>185267.86546574108</v>
      </c>
      <c r="AB44" s="91">
        <f>VLOOKUP($Q44,Iedz_sk!$B$14:$R$123,16,FALSE)*K$62</f>
        <v>194974.95894886088</v>
      </c>
      <c r="AC44" s="162">
        <f>VLOOKUP($Q44,Iedz_sk!$B$14:$R$123,17,FALSE)*L$62</f>
        <v>202662.64167122671</v>
      </c>
      <c r="AD44" s="163">
        <f>VLOOKUP($Q44,Iedz_sk!$B$14:$Y$123,24,FALSE)*M$62</f>
        <v>248151.66535993211</v>
      </c>
    </row>
    <row r="45" spans="1:30" x14ac:dyDescent="0.35">
      <c r="A45" s="19" t="s">
        <v>7</v>
      </c>
      <c r="B45" s="3">
        <v>30756</v>
      </c>
      <c r="C45" s="3">
        <v>29948</v>
      </c>
      <c r="D45" s="3">
        <v>29317</v>
      </c>
      <c r="E45" s="3">
        <v>28692</v>
      </c>
      <c r="F45" s="3">
        <v>28174</v>
      </c>
      <c r="G45" s="3">
        <v>28156</v>
      </c>
      <c r="H45" s="3">
        <v>27820</v>
      </c>
      <c r="I45" s="3">
        <v>27100</v>
      </c>
      <c r="J45" s="3">
        <v>26839</v>
      </c>
      <c r="K45" s="93">
        <v>26264</v>
      </c>
      <c r="L45" s="93">
        <v>25689</v>
      </c>
      <c r="M45" s="169">
        <v>21662</v>
      </c>
      <c r="N45" s="230"/>
      <c r="O45" s="227"/>
      <c r="P45" s="82"/>
      <c r="Q45" s="3" t="s">
        <v>48</v>
      </c>
      <c r="R45" s="3" t="s">
        <v>294</v>
      </c>
      <c r="S45" s="85">
        <f>VLOOKUP($Q45,Iedz_sk!$B$14:$R$123,3,FALSE)*B$62</f>
        <v>14344.340494494307</v>
      </c>
      <c r="T45" s="85">
        <f>VLOOKUP($Q45,Iedz_sk!$B$14:$R$123,4,FALSE)*C$62</f>
        <v>16379.679111175936</v>
      </c>
      <c r="U45" s="85">
        <f>VLOOKUP($Q45,Iedz_sk!$B$14:$R$123,5,FALSE)*D$62</f>
        <v>16303.224123693728</v>
      </c>
      <c r="V45" s="85">
        <f>VLOOKUP($Q45,Iedz_sk!$B$14:$R$123,6,FALSE)*E$62</f>
        <v>16277.07438494935</v>
      </c>
      <c r="W45" s="85">
        <f>VLOOKUP($Q45,Iedz_sk!$B$14:$R$123,7,FALSE)*F$62</f>
        <v>16789.477015749289</v>
      </c>
      <c r="X45" s="85">
        <f>VLOOKUP($Q45,Iedz_sk!$B$14:$R$123,8,FALSE)*G$62</f>
        <v>17921.750010578427</v>
      </c>
      <c r="Y45" s="91">
        <f>VLOOKUP($Q45,Iedz_sk!$B$14:$R$123,9,FALSE)*H$62</f>
        <v>18510.205414859094</v>
      </c>
      <c r="Z45" s="91">
        <f>VLOOKUP($Q45,Iedz_sk!$B$14:$R$123,10,FALSE)*I$62</f>
        <v>17805.2098773336</v>
      </c>
      <c r="AA45" s="91">
        <f>VLOOKUP($Q45,Iedz_sk!$B$14:$R$123,11,FALSE)*J$62</f>
        <v>18811.029512602898</v>
      </c>
      <c r="AB45" s="91">
        <f>VLOOKUP($Q45,Iedz_sk!$B$14:$R$123,16,FALSE)*K$62</f>
        <v>19731.18135897279</v>
      </c>
      <c r="AC45" s="162">
        <f>VLOOKUP($Q45,Iedz_sk!$B$14:$R$123,17,FALSE)*L$62</f>
        <v>20448.823659913232</v>
      </c>
      <c r="AD45" s="163">
        <f>VLOOKUP($Q45,Iedz_sk!$B$14:$Y$123,24,FALSE)*M$62</f>
        <v>24328.5946431306</v>
      </c>
    </row>
    <row r="46" spans="1:30" x14ac:dyDescent="0.35">
      <c r="A46" s="96" t="s">
        <v>307</v>
      </c>
      <c r="B46" s="3">
        <v>319506</v>
      </c>
      <c r="C46" s="3">
        <v>317288</v>
      </c>
      <c r="D46" s="3">
        <v>317963</v>
      </c>
      <c r="E46" s="3">
        <v>317165</v>
      </c>
      <c r="F46" s="3">
        <v>316348</v>
      </c>
      <c r="G46" s="3">
        <v>318193</v>
      </c>
      <c r="H46" s="3">
        <v>321264</v>
      </c>
      <c r="I46" s="3">
        <v>325627</v>
      </c>
      <c r="J46" s="3">
        <v>328734</v>
      </c>
      <c r="K46" s="93">
        <v>327720</v>
      </c>
      <c r="L46" s="93">
        <v>326706</v>
      </c>
      <c r="M46" s="169">
        <v>319596</v>
      </c>
      <c r="N46" s="230"/>
      <c r="O46" s="227"/>
      <c r="P46" s="82"/>
      <c r="Q46" s="3" t="s">
        <v>54</v>
      </c>
      <c r="R46" s="3" t="s">
        <v>294</v>
      </c>
      <c r="S46" s="85">
        <f>VLOOKUP($Q46,Iedz_sk!$B$14:$R$123,3,FALSE)*B$62</f>
        <v>38507.76018732012</v>
      </c>
      <c r="T46" s="85">
        <f>VLOOKUP($Q46,Iedz_sk!$B$14:$R$123,4,FALSE)*C$62</f>
        <v>43975.800839233023</v>
      </c>
      <c r="U46" s="85">
        <f>VLOOKUP($Q46,Iedz_sk!$B$14:$R$123,5,FALSE)*D$62</f>
        <v>43705.154246988808</v>
      </c>
      <c r="V46" s="85">
        <f>VLOOKUP($Q46,Iedz_sk!$B$14:$R$123,6,FALSE)*E$62</f>
        <v>45216.56960926194</v>
      </c>
      <c r="W46" s="85">
        <f>VLOOKUP($Q46,Iedz_sk!$B$14:$R$123,7,FALSE)*F$62</f>
        <v>46938.322839729204</v>
      </c>
      <c r="X46" s="85">
        <f>VLOOKUP($Q46,Iedz_sk!$B$14:$R$123,8,FALSE)*G$62</f>
        <v>50792.610768235696</v>
      </c>
      <c r="Y46" s="91">
        <f>VLOOKUP($Q46,Iedz_sk!$B$14:$R$123,9,FALSE)*H$62</f>
        <v>53467.814749607845</v>
      </c>
      <c r="Z46" s="91">
        <f>VLOOKUP($Q46,Iedz_sk!$B$14:$R$123,10,FALSE)*I$62</f>
        <v>51405.79241561357</v>
      </c>
      <c r="AA46" s="91">
        <f>VLOOKUP($Q46,Iedz_sk!$B$14:$R$123,11,FALSE)*J$62</f>
        <v>54544.430956222051</v>
      </c>
      <c r="AB46" s="91">
        <f>VLOOKUP($Q46,Iedz_sk!$B$14:$R$123,16,FALSE)*K$62</f>
        <v>57781.271054829172</v>
      </c>
      <c r="AC46" s="162">
        <f>VLOOKUP($Q46,Iedz_sk!$B$14:$R$123,17,FALSE)*L$62</f>
        <v>60471.481694767186</v>
      </c>
      <c r="AD46" s="163">
        <f>VLOOKUP($Q46,Iedz_sk!$B$14:$Y$123,24,FALSE)*M$62</f>
        <v>78339.649417200475</v>
      </c>
    </row>
    <row r="47" spans="1:30" x14ac:dyDescent="0.35">
      <c r="A47" s="96" t="s">
        <v>308</v>
      </c>
      <c r="B47" s="3">
        <v>181721</v>
      </c>
      <c r="C47" s="3">
        <v>178258</v>
      </c>
      <c r="D47" s="3">
        <v>175595</v>
      </c>
      <c r="E47" s="3">
        <v>172750</v>
      </c>
      <c r="F47" s="3">
        <v>168833</v>
      </c>
      <c r="G47" s="3">
        <v>165431</v>
      </c>
      <c r="H47" s="3">
        <v>162970</v>
      </c>
      <c r="I47" s="3">
        <v>162495</v>
      </c>
      <c r="J47" s="3">
        <v>160428</v>
      </c>
      <c r="K47" s="93">
        <v>156712</v>
      </c>
      <c r="L47" s="93">
        <v>152998</v>
      </c>
      <c r="M47" s="169">
        <v>126999</v>
      </c>
      <c r="N47" s="230"/>
      <c r="O47" s="227"/>
      <c r="Q47" s="3" t="s">
        <v>64</v>
      </c>
      <c r="R47" s="3" t="s">
        <v>294</v>
      </c>
      <c r="S47" s="85">
        <f>VLOOKUP($Q47,Iedz_sk!$B$14:$R$123,3,FALSE)*B$62</f>
        <v>22152.875611514355</v>
      </c>
      <c r="T47" s="85">
        <f>VLOOKUP($Q47,Iedz_sk!$B$14:$R$123,4,FALSE)*C$62</f>
        <v>24947.402596236916</v>
      </c>
      <c r="U47" s="85">
        <f>VLOOKUP($Q47,Iedz_sk!$B$14:$R$123,5,FALSE)*D$62</f>
        <v>24749.901079187905</v>
      </c>
      <c r="V47" s="85">
        <f>VLOOKUP($Q47,Iedz_sk!$B$14:$R$123,6,FALSE)*E$62</f>
        <v>25265.463386396528</v>
      </c>
      <c r="W47" s="85">
        <f>VLOOKUP($Q47,Iedz_sk!$B$14:$R$123,7,FALSE)*F$62</f>
        <v>26012.308008505446</v>
      </c>
      <c r="X47" s="85">
        <f>VLOOKUP($Q47,Iedz_sk!$B$14:$R$123,8,FALSE)*G$62</f>
        <v>28025.286929293783</v>
      </c>
      <c r="Y47" s="91">
        <f>VLOOKUP($Q47,Iedz_sk!$B$14:$R$123,9,FALSE)*H$62</f>
        <v>29924.373687023322</v>
      </c>
      <c r="Z47" s="91">
        <f>VLOOKUP($Q47,Iedz_sk!$B$14:$R$123,10,FALSE)*I$62</f>
        <v>28872.595430126741</v>
      </c>
      <c r="AA47" s="91">
        <f>VLOOKUP($Q47,Iedz_sk!$B$14:$R$123,11,FALSE)*J$62</f>
        <v>30766.232004046302</v>
      </c>
      <c r="AB47" s="91">
        <f>VLOOKUP($Q47,Iedz_sk!$B$14:$R$123,16,FALSE)*K$62</f>
        <v>32218.113331257835</v>
      </c>
      <c r="AC47" s="162">
        <f>VLOOKUP($Q47,Iedz_sk!$B$14:$R$123,17,FALSE)*L$62</f>
        <v>33325.209186916174</v>
      </c>
      <c r="AD47" s="163">
        <f>VLOOKUP($Q47,Iedz_sk!$B$14:$Y$123,24,FALSE)*M$62</f>
        <v>39020.231408205582</v>
      </c>
    </row>
    <row r="48" spans="1:30" x14ac:dyDescent="0.35">
      <c r="A48" s="96" t="s">
        <v>309</v>
      </c>
      <c r="B48" s="3">
        <v>151950</v>
      </c>
      <c r="C48" s="3">
        <v>149431</v>
      </c>
      <c r="D48" s="3">
        <v>147323</v>
      </c>
      <c r="E48" s="3">
        <v>144555</v>
      </c>
      <c r="F48" s="3">
        <v>141512</v>
      </c>
      <c r="G48" s="3">
        <v>138997</v>
      </c>
      <c r="H48" s="3">
        <v>136791</v>
      </c>
      <c r="I48" s="3">
        <v>136472</v>
      </c>
      <c r="J48" s="3">
        <v>134686</v>
      </c>
      <c r="K48" s="93">
        <v>132284</v>
      </c>
      <c r="L48" s="93">
        <v>129883</v>
      </c>
      <c r="M48" s="169">
        <v>113059</v>
      </c>
      <c r="N48" s="230"/>
      <c r="O48" s="227"/>
      <c r="Q48" s="3" t="s">
        <v>66</v>
      </c>
      <c r="R48" s="3" t="s">
        <v>294</v>
      </c>
      <c r="S48" s="85">
        <f>VLOOKUP($Q48,Iedz_sk!$B$14:$R$123,3,FALSE)*B$62</f>
        <v>15383.429025814297</v>
      </c>
      <c r="T48" s="85">
        <f>VLOOKUP($Q48,Iedz_sk!$B$14:$R$123,4,FALSE)*C$62</f>
        <v>17481.546270013128</v>
      </c>
      <c r="U48" s="85">
        <f>VLOOKUP($Q48,Iedz_sk!$B$14:$R$123,5,FALSE)*D$62</f>
        <v>17376.833736723711</v>
      </c>
      <c r="V48" s="85">
        <f>VLOOKUP($Q48,Iedz_sk!$B$14:$R$123,6,FALSE)*E$62</f>
        <v>17598.241389290884</v>
      </c>
      <c r="W48" s="85">
        <f>VLOOKUP($Q48,Iedz_sk!$B$14:$R$123,7,FALSE)*F$62</f>
        <v>18147.391706597646</v>
      </c>
      <c r="X48" s="85">
        <f>VLOOKUP($Q48,Iedz_sk!$B$14:$R$123,8,FALSE)*G$62</f>
        <v>19648.630045154776</v>
      </c>
      <c r="Y48" s="91">
        <f>VLOOKUP($Q48,Iedz_sk!$B$14:$R$123,9,FALSE)*H$62</f>
        <v>20407.982790230977</v>
      </c>
      <c r="Z48" s="91">
        <f>VLOOKUP($Q48,Iedz_sk!$B$14:$R$123,10,FALSE)*I$62</f>
        <v>19682.238467087318</v>
      </c>
      <c r="AA48" s="91">
        <f>VLOOKUP($Q48,Iedz_sk!$B$14:$R$123,11,FALSE)*J$62</f>
        <v>20425.831744859472</v>
      </c>
      <c r="AB48" s="91">
        <f>VLOOKUP($Q48,Iedz_sk!$B$14:$R$123,16,FALSE)*K$62</f>
        <v>21570.184358959439</v>
      </c>
      <c r="AC48" s="162">
        <f>VLOOKUP($Q48,Iedz_sk!$B$14:$R$123,17,FALSE)*L$62</f>
        <v>22501.267661700615</v>
      </c>
      <c r="AD48" s="163">
        <f>VLOOKUP($Q48,Iedz_sk!$B$14:$Y$123,24,FALSE)*M$62</f>
        <v>28422.72707498429</v>
      </c>
    </row>
    <row r="49" spans="1:30" x14ac:dyDescent="0.35">
      <c r="A49" s="96" t="s">
        <v>310</v>
      </c>
      <c r="B49" s="3">
        <v>167238</v>
      </c>
      <c r="C49" s="3">
        <v>164274</v>
      </c>
      <c r="D49" s="3">
        <v>161951</v>
      </c>
      <c r="E49" s="3">
        <v>159553</v>
      </c>
      <c r="F49" s="3">
        <v>156262</v>
      </c>
      <c r="G49" s="3">
        <v>154188</v>
      </c>
      <c r="H49" s="3">
        <v>152283</v>
      </c>
      <c r="I49" s="3">
        <v>152305</v>
      </c>
      <c r="J49" s="3">
        <v>150555</v>
      </c>
      <c r="K49" s="93">
        <v>148106</v>
      </c>
      <c r="L49" s="93">
        <v>145656</v>
      </c>
      <c r="M49" s="169">
        <v>128502</v>
      </c>
      <c r="N49" s="230"/>
      <c r="O49" s="227"/>
      <c r="Q49" s="3" t="s">
        <v>68</v>
      </c>
      <c r="R49" s="3" t="s">
        <v>294</v>
      </c>
      <c r="S49" s="85">
        <f>VLOOKUP($Q49,Iedz_sk!$B$14:$R$123,3,FALSE)*B$62</f>
        <v>151270.38542050726</v>
      </c>
      <c r="T49" s="85">
        <f>VLOOKUP($Q49,Iedz_sk!$B$14:$R$123,4,FALSE)*C$62</f>
        <v>170464.500072928</v>
      </c>
      <c r="U49" s="85">
        <f>VLOOKUP($Q49,Iedz_sk!$B$14:$R$123,5,FALSE)*D$62</f>
        <v>169061.51906375468</v>
      </c>
      <c r="V49" s="85">
        <f>VLOOKUP($Q49,Iedz_sk!$B$14:$R$123,6,FALSE)*E$62</f>
        <v>173985.81881331405</v>
      </c>
      <c r="W49" s="85">
        <f>VLOOKUP($Q49,Iedz_sk!$B$14:$R$123,7,FALSE)*F$62</f>
        <v>180100.30393939573</v>
      </c>
      <c r="X49" s="85">
        <f>VLOOKUP($Q49,Iedz_sk!$B$14:$R$123,8,FALSE)*G$62</f>
        <v>194200.9766246955</v>
      </c>
      <c r="Y49" s="91">
        <f>VLOOKUP($Q49,Iedz_sk!$B$14:$R$123,9,FALSE)*H$62</f>
        <v>204088.99590895409</v>
      </c>
      <c r="Z49" s="91">
        <f>VLOOKUP($Q49,Iedz_sk!$B$14:$R$123,10,FALSE)*I$62</f>
        <v>195396.90541167342</v>
      </c>
      <c r="AA49" s="91">
        <f>VLOOKUP($Q49,Iedz_sk!$B$14:$R$123,11,FALSE)*J$62</f>
        <v>204692.70869235962</v>
      </c>
      <c r="AB49" s="91">
        <f>VLOOKUP($Q49,Iedz_sk!$B$14:$R$123,16,FALSE)*K$62</f>
        <v>215681.52311445642</v>
      </c>
      <c r="AC49" s="162">
        <f>VLOOKUP($Q49,Iedz_sk!$B$14:$R$123,17,FALSE)*L$62</f>
        <v>224472.55977443053</v>
      </c>
      <c r="AD49" s="163">
        <f>VLOOKUP($Q49,Iedz_sk!$B$14:$Y$123,24,FALSE)*M$62</f>
        <v>277849.87215407082</v>
      </c>
    </row>
    <row r="50" spans="1:30" x14ac:dyDescent="0.35">
      <c r="A50" s="96" t="s">
        <v>311</v>
      </c>
      <c r="B50" s="3">
        <v>172734</v>
      </c>
      <c r="C50" s="3">
        <v>168887</v>
      </c>
      <c r="D50" s="3">
        <v>165829</v>
      </c>
      <c r="E50" s="3">
        <v>161988</v>
      </c>
      <c r="F50" s="3">
        <v>157445</v>
      </c>
      <c r="G50" s="3">
        <v>153451</v>
      </c>
      <c r="H50" s="3">
        <v>149802</v>
      </c>
      <c r="I50" s="3">
        <v>148501</v>
      </c>
      <c r="J50" s="3">
        <v>145216</v>
      </c>
      <c r="K50" s="93">
        <v>141884</v>
      </c>
      <c r="L50" s="93">
        <v>138552</v>
      </c>
      <c r="M50" s="169">
        <v>115225</v>
      </c>
      <c r="N50" s="231"/>
      <c r="O50" s="228"/>
      <c r="Q50" s="3" t="s">
        <v>69</v>
      </c>
      <c r="R50" s="3" t="s">
        <v>294</v>
      </c>
      <c r="S50" s="85">
        <f>VLOOKUP($Q50,Iedz_sk!$B$14:$R$123,3,FALSE)*B$62</f>
        <v>20886.294324816612</v>
      </c>
      <c r="T50" s="85">
        <f>VLOOKUP($Q50,Iedz_sk!$B$14:$R$123,4,FALSE)*C$62</f>
        <v>23407.613874272123</v>
      </c>
      <c r="U50" s="85">
        <f>VLOOKUP($Q50,Iedz_sk!$B$14:$R$123,5,FALSE)*D$62</f>
        <v>23029.281699365016</v>
      </c>
      <c r="V50" s="85">
        <f>VLOOKUP($Q50,Iedz_sk!$B$14:$R$123,6,FALSE)*E$62</f>
        <v>23357.935745296672</v>
      </c>
      <c r="W50" s="85">
        <f>VLOOKUP($Q50,Iedz_sk!$B$14:$R$123,7,FALSE)*F$62</f>
        <v>23783.130134511619</v>
      </c>
      <c r="X50" s="85">
        <f>VLOOKUP($Q50,Iedz_sk!$B$14:$R$123,8,FALSE)*G$62</f>
        <v>25688.414444692953</v>
      </c>
      <c r="Y50" s="91">
        <f>VLOOKUP($Q50,Iedz_sk!$B$14:$R$123,9,FALSE)*H$62</f>
        <v>26880.595481112861</v>
      </c>
      <c r="Z50" s="91">
        <f>VLOOKUP($Q50,Iedz_sk!$B$14:$R$123,10,FALSE)*I$62</f>
        <v>25959.659552631587</v>
      </c>
      <c r="AA50" s="91">
        <f>VLOOKUP($Q50,Iedz_sk!$B$14:$R$123,11,FALSE)*J$62</f>
        <v>27073.90643204443</v>
      </c>
      <c r="AB50" s="91">
        <f>VLOOKUP($Q50,Iedz_sk!$B$14:$R$123,16,FALSE)*K$62</f>
        <v>28347.062817473779</v>
      </c>
      <c r="AC50" s="162">
        <f>VLOOKUP($Q50,Iedz_sk!$B$14:$R$123,17,FALSE)*L$62</f>
        <v>29317.542215005025</v>
      </c>
      <c r="AD50" s="163">
        <f>VLOOKUP($Q50,Iedz_sk!$B$14:$Y$123,24,FALSE)*M$62</f>
        <v>34280.485785174962</v>
      </c>
    </row>
    <row r="51" spans="1:30" x14ac:dyDescent="0.35">
      <c r="A51" s="215" t="s">
        <v>406</v>
      </c>
      <c r="B51" s="215"/>
      <c r="C51" s="215"/>
      <c r="D51" s="215"/>
      <c r="E51" s="215"/>
      <c r="F51" s="215"/>
      <c r="G51" s="215"/>
      <c r="H51" s="215"/>
      <c r="I51" s="215"/>
      <c r="J51" s="215"/>
      <c r="K51" s="215"/>
      <c r="L51" s="215"/>
      <c r="M51" s="215"/>
      <c r="N51" s="215"/>
      <c r="O51" s="215"/>
      <c r="Q51" s="3" t="s">
        <v>73</v>
      </c>
      <c r="R51" s="3" t="s">
        <v>294</v>
      </c>
      <c r="S51" s="85">
        <f>VLOOKUP($Q51,Iedz_sk!$B$14:$R$123,3,FALSE)*B$62</f>
        <v>11878.810902427347</v>
      </c>
      <c r="T51" s="85">
        <f>VLOOKUP($Q51,Iedz_sk!$B$14:$R$123,4,FALSE)*C$62</f>
        <v>13285.975165209977</v>
      </c>
      <c r="U51" s="85">
        <f>VLOOKUP($Q51,Iedz_sk!$B$14:$R$123,5,FALSE)*D$62</f>
        <v>13132.165266664768</v>
      </c>
      <c r="V51" s="85">
        <f>VLOOKUP($Q51,Iedz_sk!$B$14:$R$123,6,FALSE)*E$62</f>
        <v>13538.250651230102</v>
      </c>
      <c r="W51" s="85">
        <f>VLOOKUP($Q51,Iedz_sk!$B$14:$R$123,7,FALSE)*F$62</f>
        <v>13893.11562313055</v>
      </c>
      <c r="X51" s="85">
        <f>VLOOKUP($Q51,Iedz_sk!$B$14:$R$123,8,FALSE)*G$62</f>
        <v>14871.787760456022</v>
      </c>
      <c r="Y51" s="91">
        <f>VLOOKUP($Q51,Iedz_sk!$B$14:$R$123,9,FALSE)*H$62</f>
        <v>15594.779301968954</v>
      </c>
      <c r="Z51" s="91">
        <f>VLOOKUP($Q51,Iedz_sk!$B$14:$R$123,10,FALSE)*I$62</f>
        <v>15317.261605065703</v>
      </c>
      <c r="AA51" s="91">
        <f>VLOOKUP($Q51,Iedz_sk!$B$14:$R$123,11,FALSE)*J$62</f>
        <v>15949.713276499142</v>
      </c>
      <c r="AB51" s="91">
        <f>VLOOKUP($Q51,Iedz_sk!$B$14:$R$123,16,FALSE)*K$62</f>
        <v>16683.110088276684</v>
      </c>
      <c r="AC51" s="162">
        <f>VLOOKUP($Q51,Iedz_sk!$B$14:$R$123,17,FALSE)*L$62</f>
        <v>17240.529615014009</v>
      </c>
      <c r="AD51" s="163">
        <f>VLOOKUP($Q51,Iedz_sk!$B$14:$Y$123,24,FALSE)*M$62</f>
        <v>19998.262263285345</v>
      </c>
    </row>
    <row r="52" spans="1:30" x14ac:dyDescent="0.35">
      <c r="A52" s="19" t="s">
        <v>1</v>
      </c>
      <c r="B52" s="34">
        <f t="shared" ref="B52:L52" si="12">B20/B37</f>
        <v>19.088750262190906</v>
      </c>
      <c r="C52" s="34">
        <f t="shared" si="12"/>
        <v>19.789543465015356</v>
      </c>
      <c r="D52" s="34">
        <f t="shared" si="12"/>
        <v>20.841338706129573</v>
      </c>
      <c r="E52" s="34">
        <f t="shared" si="12"/>
        <v>21.515363569563654</v>
      </c>
      <c r="F52" s="34">
        <f t="shared" si="12"/>
        <v>22.579726639050985</v>
      </c>
      <c r="G52" s="34">
        <f t="shared" si="12"/>
        <v>25.699396994534233</v>
      </c>
      <c r="H52" s="34">
        <f t="shared" si="12"/>
        <v>27.244864418012725</v>
      </c>
      <c r="I52" s="34">
        <f t="shared" si="12"/>
        <v>26.720241562910701</v>
      </c>
      <c r="J52" s="34">
        <f t="shared" si="12"/>
        <v>28.434067487205898</v>
      </c>
      <c r="K52" s="34">
        <f t="shared" si="12"/>
        <v>29.828199828970693</v>
      </c>
      <c r="L52" s="34">
        <f t="shared" si="12"/>
        <v>30.903805705974257</v>
      </c>
      <c r="M52" s="170">
        <f t="shared" ref="M52" si="13">M20/M37</f>
        <v>36.910479528866212</v>
      </c>
      <c r="N52" s="56"/>
      <c r="Q52" s="3" t="s">
        <v>79</v>
      </c>
      <c r="R52" s="3" t="s">
        <v>294</v>
      </c>
      <c r="S52" s="85">
        <f>VLOOKUP($Q52,Iedz_sk!$B$14:$R$123,3,FALSE)*B$62</f>
        <v>24286.388749786762</v>
      </c>
      <c r="T52" s="85">
        <f>VLOOKUP($Q52,Iedz_sk!$B$14:$R$123,4,FALSE)*C$62</f>
        <v>27815.082509620886</v>
      </c>
      <c r="U52" s="85">
        <f>VLOOKUP($Q52,Iedz_sk!$B$14:$R$123,5,FALSE)*D$62</f>
        <v>27707.660013098324</v>
      </c>
      <c r="V52" s="85">
        <f>VLOOKUP($Q52,Iedz_sk!$B$14:$R$123,6,FALSE)*E$62</f>
        <v>28316.023154848048</v>
      </c>
      <c r="W52" s="85">
        <f>VLOOKUP($Q52,Iedz_sk!$B$14:$R$123,7,FALSE)*F$62</f>
        <v>29261.884205102084</v>
      </c>
      <c r="X52" s="85">
        <f>VLOOKUP($Q52,Iedz_sk!$B$14:$R$123,8,FALSE)*G$62</f>
        <v>31496.229884362663</v>
      </c>
      <c r="Y52" s="91">
        <f>VLOOKUP($Q52,Iedz_sk!$B$14:$R$123,9,FALSE)*H$62</f>
        <v>33215.688072330115</v>
      </c>
      <c r="Z52" s="91">
        <f>VLOOKUP($Q52,Iedz_sk!$B$14:$R$123,10,FALSE)*I$62</f>
        <v>32210.518912849151</v>
      </c>
      <c r="AA52" s="91">
        <f>VLOOKUP($Q52,Iedz_sk!$B$14:$R$123,11,FALSE)*J$62</f>
        <v>34024.166332283254</v>
      </c>
      <c r="AB52" s="91">
        <f>VLOOKUP($Q52,Iedz_sk!$B$14:$R$123,16,FALSE)*K$62</f>
        <v>35967.240994214044</v>
      </c>
      <c r="AC52" s="162">
        <f>VLOOKUP($Q52,Iedz_sk!$B$14:$R$123,17,FALSE)*L$62</f>
        <v>37559.72523270909</v>
      </c>
      <c r="AD52" s="163">
        <f>VLOOKUP($Q52,Iedz_sk!$B$14:$Y$123,24,FALSE)*M$62</f>
        <v>47838.362799890456</v>
      </c>
    </row>
    <row r="53" spans="1:30" x14ac:dyDescent="0.35">
      <c r="A53" s="19" t="s">
        <v>4</v>
      </c>
      <c r="B53" s="34">
        <f t="shared" ref="B53:L53" si="14">B21/B38</f>
        <v>6.2383272914561916</v>
      </c>
      <c r="C53" s="34">
        <f t="shared" si="14"/>
        <v>7.0589346733668341</v>
      </c>
      <c r="D53" s="34">
        <f t="shared" si="14"/>
        <v>7.1425693912903352</v>
      </c>
      <c r="E53" s="34">
        <f t="shared" si="14"/>
        <v>7.0051644910739705</v>
      </c>
      <c r="F53" s="34">
        <f t="shared" si="14"/>
        <v>8.501543019380323</v>
      </c>
      <c r="G53" s="34">
        <f t="shared" si="14"/>
        <v>8.5860860350905792</v>
      </c>
      <c r="H53" s="34">
        <f t="shared" si="14"/>
        <v>8.9798757921963741</v>
      </c>
      <c r="I53" s="34">
        <f t="shared" si="14"/>
        <v>8.5327725861822117</v>
      </c>
      <c r="J53" s="34">
        <f t="shared" si="14"/>
        <v>8.9379816414483102</v>
      </c>
      <c r="K53" s="34">
        <f t="shared" si="14"/>
        <v>9.47433014786915</v>
      </c>
      <c r="L53" s="34">
        <f t="shared" si="14"/>
        <v>9.9193704738282875</v>
      </c>
      <c r="M53" s="170">
        <f t="shared" ref="M53" si="15">M21/M38</f>
        <v>12.775804587384108</v>
      </c>
      <c r="N53" s="56"/>
      <c r="Q53" s="3" t="s">
        <v>84</v>
      </c>
      <c r="R53" s="3" t="s">
        <v>294</v>
      </c>
      <c r="S53" s="85">
        <f>VLOOKUP($Q53,Iedz_sk!$B$14:$R$123,3,FALSE)*B$62</f>
        <v>50614.063845125216</v>
      </c>
      <c r="T53" s="85">
        <f>VLOOKUP($Q53,Iedz_sk!$B$14:$R$123,4,FALSE)*C$62</f>
        <v>56859.170696406334</v>
      </c>
      <c r="U53" s="85">
        <f>VLOOKUP($Q53,Iedz_sk!$B$14:$R$123,5,FALSE)*D$62</f>
        <v>56531.589623850341</v>
      </c>
      <c r="V53" s="85">
        <f>VLOOKUP($Q53,Iedz_sk!$B$14:$R$123,6,FALSE)*E$62</f>
        <v>58932.955137481913</v>
      </c>
      <c r="W53" s="85">
        <f>VLOOKUP($Q53,Iedz_sk!$B$14:$R$123,7,FALSE)*F$62</f>
        <v>61773.344606800805</v>
      </c>
      <c r="X53" s="85">
        <f>VLOOKUP($Q53,Iedz_sk!$B$14:$R$123,8,FALSE)*G$62</f>
        <v>66317.348193506652</v>
      </c>
      <c r="Y53" s="91">
        <f>VLOOKUP($Q53,Iedz_sk!$B$14:$R$123,9,FALSE)*H$62</f>
        <v>69741.026543255633</v>
      </c>
      <c r="Z53" s="91">
        <f>VLOOKUP($Q53,Iedz_sk!$B$14:$R$123,10,FALSE)*I$62</f>
        <v>67307.411977866752</v>
      </c>
      <c r="AA53" s="91">
        <f>VLOOKUP($Q53,Iedz_sk!$B$14:$R$123,11,FALSE)*J$62</f>
        <v>70909.648900670261</v>
      </c>
      <c r="AB53" s="91">
        <f>VLOOKUP($Q53,Iedz_sk!$B$14:$R$123,16,FALSE)*K$62</f>
        <v>74952.072546417228</v>
      </c>
      <c r="AC53" s="162">
        <f>VLOOKUP($Q53,Iedz_sk!$B$14:$R$123,17,FALSE)*L$62</f>
        <v>78262.930489208331</v>
      </c>
      <c r="AD53" s="163">
        <f>VLOOKUP($Q53,Iedz_sk!$B$14:$Y$123,24,FALSE)*M$62</f>
        <v>99518.911420443619</v>
      </c>
    </row>
    <row r="54" spans="1:30" x14ac:dyDescent="0.35">
      <c r="A54" s="19" t="s">
        <v>8</v>
      </c>
      <c r="B54" s="34">
        <f t="shared" ref="B54:L54" si="16">B22/B39</f>
        <v>12.370851906884596</v>
      </c>
      <c r="C54" s="34">
        <f t="shared" si="16"/>
        <v>14.071522171027603</v>
      </c>
      <c r="D54" s="34">
        <f t="shared" si="16"/>
        <v>14.877603277569136</v>
      </c>
      <c r="E54" s="34">
        <f t="shared" si="16"/>
        <v>15.515743289745355</v>
      </c>
      <c r="F54" s="34">
        <f t="shared" si="16"/>
        <v>16.727015373894865</v>
      </c>
      <c r="G54" s="34">
        <f t="shared" si="16"/>
        <v>16.932099033083293</v>
      </c>
      <c r="H54" s="34">
        <f t="shared" si="16"/>
        <v>17.751883392123066</v>
      </c>
      <c r="I54" s="34">
        <f t="shared" si="16"/>
        <v>17.173192420059429</v>
      </c>
      <c r="J54" s="34">
        <f t="shared" si="16"/>
        <v>18.120371246813331</v>
      </c>
      <c r="K54" s="34">
        <f t="shared" si="16"/>
        <v>19.042023302602377</v>
      </c>
      <c r="L54" s="34">
        <f t="shared" si="16"/>
        <v>19.763039483023828</v>
      </c>
      <c r="M54" s="170">
        <f t="shared" ref="M54" si="17">M22/M39</f>
        <v>23.889364496684376</v>
      </c>
      <c r="N54" s="56"/>
      <c r="Q54" s="3" t="s">
        <v>85</v>
      </c>
      <c r="R54" s="3" t="s">
        <v>294</v>
      </c>
      <c r="S54" s="85">
        <f>VLOOKUP($Q54,Iedz_sk!$B$14:$R$123,3,FALSE)*B$62</f>
        <v>21458.100439685011</v>
      </c>
      <c r="T54" s="85">
        <f>VLOOKUP($Q54,Iedz_sk!$B$14:$R$123,4,FALSE)*C$62</f>
        <v>24099.812474054463</v>
      </c>
      <c r="U54" s="85">
        <f>VLOOKUP($Q54,Iedz_sk!$B$14:$R$123,5,FALSE)*D$62</f>
        <v>23811.381417466328</v>
      </c>
      <c r="V54" s="85">
        <f>VLOOKUP($Q54,Iedz_sk!$B$14:$R$123,6,FALSE)*E$62</f>
        <v>23803.272937771348</v>
      </c>
      <c r="W54" s="85">
        <f>VLOOKUP($Q54,Iedz_sk!$B$14:$R$123,7,FALSE)*F$62</f>
        <v>24528.805831798287</v>
      </c>
      <c r="X54" s="85">
        <f>VLOOKUP($Q54,Iedz_sk!$B$14:$R$123,8,FALSE)*G$62</f>
        <v>26599.107398250631</v>
      </c>
      <c r="Y54" s="91">
        <f>VLOOKUP($Q54,Iedz_sk!$B$14:$R$123,9,FALSE)*H$62</f>
        <v>27714.884085744943</v>
      </c>
      <c r="Z54" s="91">
        <f>VLOOKUP($Q54,Iedz_sk!$B$14:$R$123,10,FALSE)*I$62</f>
        <v>26898.173847508446</v>
      </c>
      <c r="AA54" s="91">
        <f>VLOOKUP($Q54,Iedz_sk!$B$14:$R$123,11,FALSE)*J$62</f>
        <v>28377.080163339208</v>
      </c>
      <c r="AB54" s="91">
        <f>VLOOKUP($Q54,Iedz_sk!$B$14:$R$123,16,FALSE)*K$62</f>
        <v>29657.733463873104</v>
      </c>
      <c r="AC54" s="162">
        <f>VLOOKUP($Q54,Iedz_sk!$B$14:$R$123,17,FALSE)*L$62</f>
        <v>30592.217963483505</v>
      </c>
      <c r="AD54" s="163">
        <f>VLOOKUP($Q54,Iedz_sk!$B$14:$Y$123,24,FALSE)*M$62</f>
        <v>35083.56560834626</v>
      </c>
    </row>
    <row r="55" spans="1:30" x14ac:dyDescent="0.35">
      <c r="A55" s="19" t="s">
        <v>6</v>
      </c>
      <c r="B55" s="34">
        <f t="shared" ref="B55:L55" si="18">B23/B40</f>
        <v>9.7710735139991023</v>
      </c>
      <c r="C55" s="34">
        <f t="shared" si="18"/>
        <v>9.7986680755220643</v>
      </c>
      <c r="D55" s="34">
        <f t="shared" si="18"/>
        <v>10.514882249560634</v>
      </c>
      <c r="E55" s="34">
        <f t="shared" si="18"/>
        <v>11.287682287979612</v>
      </c>
      <c r="F55" s="34">
        <f t="shared" si="18"/>
        <v>12.028858200250566</v>
      </c>
      <c r="G55" s="34">
        <f t="shared" si="18"/>
        <v>12.97172593235039</v>
      </c>
      <c r="H55" s="34">
        <f t="shared" si="18"/>
        <v>13.682804599964179</v>
      </c>
      <c r="I55" s="34">
        <f t="shared" si="18"/>
        <v>13.29740777206756</v>
      </c>
      <c r="J55" s="34">
        <f t="shared" si="18"/>
        <v>14.074072530182354</v>
      </c>
      <c r="K55" s="34">
        <f t="shared" si="18"/>
        <v>15.055234878005548</v>
      </c>
      <c r="L55" s="34">
        <f t="shared" si="18"/>
        <v>15.910397101864937</v>
      </c>
      <c r="M55" s="170">
        <f t="shared" ref="M55" si="19">M23/M40</f>
        <v>22.048534231079312</v>
      </c>
      <c r="N55" s="56"/>
      <c r="Q55" s="3" t="s">
        <v>93</v>
      </c>
      <c r="R55" s="3" t="s">
        <v>294</v>
      </c>
      <c r="S55" s="85">
        <f>VLOOKUP($Q55,Iedz_sk!$B$14:$R$123,3,FALSE)*B$62</f>
        <v>33521.364927553775</v>
      </c>
      <c r="T55" s="85">
        <f>VLOOKUP($Q55,Iedz_sk!$B$14:$R$123,4,FALSE)*C$62</f>
        <v>37583.558667773679</v>
      </c>
      <c r="U55" s="85">
        <f>VLOOKUP($Q55,Iedz_sk!$B$14:$R$123,5,FALSE)*D$62</f>
        <v>37107.076625188645</v>
      </c>
      <c r="V55" s="85">
        <f>VLOOKUP($Q55,Iedz_sk!$B$14:$R$123,6,FALSE)*E$62</f>
        <v>38269.309406657019</v>
      </c>
      <c r="W55" s="85">
        <f>VLOOKUP($Q55,Iedz_sk!$B$14:$R$123,7,FALSE)*F$62</f>
        <v>39685.645531383081</v>
      </c>
      <c r="X55" s="85">
        <f>VLOOKUP($Q55,Iedz_sk!$B$14:$R$123,8,FALSE)*G$62</f>
        <v>42888.483246791715</v>
      </c>
      <c r="Y55" s="91">
        <f>VLOOKUP($Q55,Iedz_sk!$B$14:$R$123,9,FALSE)*H$62</f>
        <v>45079.088670065459</v>
      </c>
      <c r="Z55" s="91">
        <f>VLOOKUP($Q55,Iedz_sk!$B$14:$R$123,10,FALSE)*I$62</f>
        <v>43499.252176698152</v>
      </c>
      <c r="AA55" s="91">
        <f>VLOOKUP($Q55,Iedz_sk!$B$14:$R$123,11,FALSE)*J$62</f>
        <v>45488.317852514134</v>
      </c>
      <c r="AB55" s="91">
        <f>VLOOKUP($Q55,Iedz_sk!$B$14:$R$123,16,FALSE)*K$62</f>
        <v>47864.879187497841</v>
      </c>
      <c r="AC55" s="162">
        <f>VLOOKUP($Q55,Iedz_sk!$B$14:$R$123,17,FALSE)*L$62</f>
        <v>49744.761201215231</v>
      </c>
      <c r="AD55" s="163">
        <f>VLOOKUP($Q55,Iedz_sk!$B$14:$Y$123,24,FALSE)*M$62</f>
        <v>60860.853265825092</v>
      </c>
    </row>
    <row r="56" spans="1:30" x14ac:dyDescent="0.35">
      <c r="A56" s="19" t="s">
        <v>9</v>
      </c>
      <c r="B56" s="34">
        <f t="shared" ref="B56:L56" si="20">B24/B41</f>
        <v>13.902212341975574</v>
      </c>
      <c r="C56" s="34">
        <f t="shared" si="20"/>
        <v>13.133162472394144</v>
      </c>
      <c r="D56" s="34">
        <f t="shared" si="20"/>
        <v>13.873821469923362</v>
      </c>
      <c r="E56" s="34">
        <f t="shared" si="20"/>
        <v>13.194384870345097</v>
      </c>
      <c r="F56" s="34">
        <f t="shared" si="20"/>
        <v>13.669108082122053</v>
      </c>
      <c r="G56" s="34">
        <f t="shared" si="20"/>
        <v>13.488480849232534</v>
      </c>
      <c r="H56" s="34">
        <f t="shared" si="20"/>
        <v>14.376717252544575</v>
      </c>
      <c r="I56" s="34">
        <f t="shared" si="20"/>
        <v>14.080442340322096</v>
      </c>
      <c r="J56" s="34">
        <f t="shared" si="20"/>
        <v>15.016415821813361</v>
      </c>
      <c r="K56" s="34">
        <f t="shared" si="20"/>
        <v>16.032551461892751</v>
      </c>
      <c r="L56" s="34">
        <f t="shared" si="20"/>
        <v>16.910494951946394</v>
      </c>
      <c r="M56" s="170">
        <f t="shared" ref="M56" si="21">M24/M41</f>
        <v>23.06507194821425</v>
      </c>
      <c r="N56" s="56"/>
      <c r="Q56" s="3" t="s">
        <v>103</v>
      </c>
      <c r="R56" s="3" t="s">
        <v>294</v>
      </c>
      <c r="S56" s="85">
        <f>VLOOKUP($Q56,Iedz_sk!$B$14:$R$123,3,FALSE)*B$62</f>
        <v>79659.355099300577</v>
      </c>
      <c r="T56" s="85">
        <f>VLOOKUP($Q56,Iedz_sk!$B$14:$R$123,4,FALSE)*C$62</f>
        <v>90487.308793995224</v>
      </c>
      <c r="U56" s="85">
        <f>VLOOKUP($Q56,Iedz_sk!$B$14:$R$123,5,FALSE)*D$62</f>
        <v>90275.63746120334</v>
      </c>
      <c r="V56" s="85">
        <f>VLOOKUP($Q56,Iedz_sk!$B$14:$R$123,6,FALSE)*E$62</f>
        <v>92570.757742402318</v>
      </c>
      <c r="W56" s="85">
        <f>VLOOKUP($Q56,Iedz_sk!$B$14:$R$123,7,FALSE)*F$62</f>
        <v>96466.887575296307</v>
      </c>
      <c r="X56" s="85">
        <f>VLOOKUP($Q56,Iedz_sk!$B$14:$R$123,8,FALSE)*G$62</f>
        <v>103801.81381965896</v>
      </c>
      <c r="Y56" s="91">
        <f>VLOOKUP($Q56,Iedz_sk!$B$14:$R$123,9,FALSE)*H$62</f>
        <v>110153.59983136802</v>
      </c>
      <c r="Z56" s="91">
        <f>VLOOKUP($Q56,Iedz_sk!$B$14:$R$123,10,FALSE)*I$62</f>
        <v>106928.65225686619</v>
      </c>
      <c r="AA56" s="91">
        <f>VLOOKUP($Q56,Iedz_sk!$B$14:$R$123,11,FALSE)*J$62</f>
        <v>112800.07406026185</v>
      </c>
      <c r="AB56" s="91">
        <f>VLOOKUP($Q56,Iedz_sk!$B$14:$R$123,16,FALSE)*K$62</f>
        <v>119118.6252588038</v>
      </c>
      <c r="AC56" s="162">
        <f>VLOOKUP($Q56,Iedz_sk!$B$14:$R$123,17,FALSE)*L$62</f>
        <v>124259.28080294872</v>
      </c>
      <c r="AD56" s="163">
        <f>VLOOKUP($Q56,Iedz_sk!$B$14:$Y$123,24,FALSE)*M$62</f>
        <v>156773.77881359757</v>
      </c>
    </row>
    <row r="57" spans="1:30" x14ac:dyDescent="0.35">
      <c r="A57" s="19" t="s">
        <v>5</v>
      </c>
      <c r="B57" s="34">
        <f t="shared" ref="B57:L57" si="22">B25/B42</f>
        <v>8.7671403596835891</v>
      </c>
      <c r="C57" s="34">
        <f t="shared" si="22"/>
        <v>9.0591816088746242</v>
      </c>
      <c r="D57" s="34">
        <f t="shared" si="22"/>
        <v>9.1615250087443165</v>
      </c>
      <c r="E57" s="34">
        <f t="shared" si="22"/>
        <v>9.6414386622964621</v>
      </c>
      <c r="F57" s="34">
        <f t="shared" si="22"/>
        <v>10.443085490721323</v>
      </c>
      <c r="G57" s="34">
        <f t="shared" si="22"/>
        <v>10.348828547611868</v>
      </c>
      <c r="H57" s="34">
        <f t="shared" si="22"/>
        <v>10.958929303152532</v>
      </c>
      <c r="I57" s="34">
        <f t="shared" si="22"/>
        <v>10.639112587065899</v>
      </c>
      <c r="J57" s="34">
        <f t="shared" si="22"/>
        <v>11.239629698775349</v>
      </c>
      <c r="K57" s="34">
        <f t="shared" si="22"/>
        <v>11.909919151152698</v>
      </c>
      <c r="L57" s="34">
        <f t="shared" si="22"/>
        <v>12.464693621571312</v>
      </c>
      <c r="M57" s="170">
        <f t="shared" ref="M57" si="23">M25/M42</f>
        <v>16.010215926700148</v>
      </c>
      <c r="N57" s="56"/>
      <c r="Q57" s="3" t="s">
        <v>105</v>
      </c>
      <c r="R57" s="3" t="s">
        <v>294</v>
      </c>
      <c r="S57" s="85">
        <f>VLOOKUP($Q57,Iedz_sk!$B$14:$R$123,3,FALSE)*B$62</f>
        <v>22066.797271641692</v>
      </c>
      <c r="T57" s="85">
        <f>VLOOKUP($Q57,Iedz_sk!$B$14:$R$123,4,FALSE)*C$62</f>
        <v>24431.785271909255</v>
      </c>
      <c r="U57" s="85">
        <f>VLOOKUP($Q57,Iedz_sk!$B$14:$R$123,5,FALSE)*D$62</f>
        <v>23704.731455907058</v>
      </c>
      <c r="V57" s="85">
        <f>VLOOKUP($Q57,Iedz_sk!$B$14:$R$123,6,FALSE)*E$62</f>
        <v>23810.695224312592</v>
      </c>
      <c r="W57" s="85">
        <f>VLOOKUP($Q57,Iedz_sk!$B$14:$R$123,7,FALSE)*F$62</f>
        <v>24152.043374221867</v>
      </c>
      <c r="X57" s="85">
        <f>VLOOKUP($Q57,Iedz_sk!$B$14:$R$123,8,FALSE)*G$62</f>
        <v>25301.799511578847</v>
      </c>
      <c r="Y57" s="91">
        <f>VLOOKUP($Q57,Iedz_sk!$B$14:$R$123,9,FALSE)*H$62</f>
        <v>26724.739368159615</v>
      </c>
      <c r="Z57" s="91">
        <f>VLOOKUP($Q57,Iedz_sk!$B$14:$R$123,10,FALSE)*I$62</f>
        <v>25295.616419463997</v>
      </c>
      <c r="AA57" s="91">
        <f>VLOOKUP($Q57,Iedz_sk!$B$14:$R$123,11,FALSE)*J$62</f>
        <v>27309.988629742758</v>
      </c>
      <c r="AB57" s="91">
        <f>VLOOKUP($Q57,Iedz_sk!$B$14:$R$123,16,FALSE)*K$62</f>
        <v>28021.935215266196</v>
      </c>
      <c r="AC57" s="162">
        <f>VLOOKUP($Q57,Iedz_sk!$B$14:$R$123,17,FALSE)*L$62</f>
        <v>28345.331898368899</v>
      </c>
      <c r="AD57" s="163">
        <f>VLOOKUP($Q57,Iedz_sk!$B$14:$Y$123,24,FALSE)*M$62</f>
        <v>26517.380827852379</v>
      </c>
    </row>
    <row r="58" spans="1:30" x14ac:dyDescent="0.35">
      <c r="A58" s="19" t="s">
        <v>3</v>
      </c>
      <c r="B58" s="34">
        <f t="shared" ref="B58:L58" si="24">B26/B43</f>
        <v>8.2955441805823611</v>
      </c>
      <c r="C58" s="34">
        <f t="shared" si="24"/>
        <v>8.3593192659761915</v>
      </c>
      <c r="D58" s="34">
        <f t="shared" si="24"/>
        <v>8.9797124114861635</v>
      </c>
      <c r="E58" s="34">
        <f t="shared" si="24"/>
        <v>9.0802197802197799</v>
      </c>
      <c r="F58" s="34">
        <f t="shared" si="24"/>
        <v>9.7142155987863639</v>
      </c>
      <c r="G58" s="34">
        <f t="shared" si="24"/>
        <v>10.569451956012259</v>
      </c>
      <c r="H58" s="34">
        <f t="shared" si="24"/>
        <v>11.167342080365392</v>
      </c>
      <c r="I58" s="34">
        <f t="shared" si="24"/>
        <v>10.871502334163909</v>
      </c>
      <c r="J58" s="34">
        <f t="shared" si="24"/>
        <v>11.557251911422149</v>
      </c>
      <c r="K58" s="34">
        <f t="shared" si="24"/>
        <v>12.356914701723777</v>
      </c>
      <c r="L58" s="34">
        <f t="shared" si="24"/>
        <v>13.052397323760903</v>
      </c>
      <c r="M58" s="170">
        <f t="shared" ref="M58" si="25">M26/M43</f>
        <v>18.016463123956168</v>
      </c>
      <c r="N58" s="56"/>
      <c r="Q58" s="3" t="s">
        <v>110</v>
      </c>
      <c r="R58" s="3" t="s">
        <v>294</v>
      </c>
      <c r="S58" s="85">
        <f>VLOOKUP($Q58,Iedz_sk!$B$14:$R$123,3,FALSE)*B$62</f>
        <v>54813.45714034151</v>
      </c>
      <c r="T58" s="85">
        <f>VLOOKUP($Q58,Iedz_sk!$B$14:$R$123,4,FALSE)*C$62</f>
        <v>61196.006821573224</v>
      </c>
      <c r="U58" s="85">
        <f>VLOOKUP($Q58,Iedz_sk!$B$14:$R$123,5,FALSE)*D$62</f>
        <v>60292.778268173926</v>
      </c>
      <c r="V58" s="85">
        <f>VLOOKUP($Q58,Iedz_sk!$B$14:$R$123,6,FALSE)*E$62</f>
        <v>61374.887409551375</v>
      </c>
      <c r="W58" s="85">
        <f>VLOOKUP($Q58,Iedz_sk!$B$14:$R$123,7,FALSE)*F$62</f>
        <v>63178.354604846209</v>
      </c>
      <c r="X58" s="85">
        <f>VLOOKUP($Q58,Iedz_sk!$B$14:$R$123,8,FALSE)*G$62</f>
        <v>67124.943831567245</v>
      </c>
      <c r="Y58" s="91">
        <f>VLOOKUP($Q58,Iedz_sk!$B$14:$R$123,9,FALSE)*H$62</f>
        <v>70520.307108021865</v>
      </c>
      <c r="Z58" s="91">
        <f>VLOOKUP($Q58,Iedz_sk!$B$14:$R$123,10,FALSE)*I$62</f>
        <v>68033.432470129977</v>
      </c>
      <c r="AA58" s="91">
        <f>VLOOKUP($Q58,Iedz_sk!$B$14:$R$123,11,FALSE)*J$62</f>
        <v>71731.214948660447</v>
      </c>
      <c r="AB58" s="91">
        <f>VLOOKUP($Q58,Iedz_sk!$B$14:$R$123,16,FALSE)*K$62</f>
        <v>74626.944944209652</v>
      </c>
      <c r="AC58" s="162">
        <f>VLOOKUP($Q58,Iedz_sk!$B$14:$R$123,17,FALSE)*L$62</f>
        <v>76631.777624629933</v>
      </c>
      <c r="AD58" s="163">
        <f>VLOOKUP($Q58,Iedz_sk!$B$14:$Y$123,24,FALSE)*M$62</f>
        <v>84071.434821795643</v>
      </c>
    </row>
    <row r="59" spans="1:30" x14ac:dyDescent="0.35">
      <c r="A59" s="19" t="s">
        <v>2</v>
      </c>
      <c r="B59" s="34">
        <f t="shared" ref="B59:L59" si="26">B27/B44</f>
        <v>8.1216249551489064</v>
      </c>
      <c r="C59" s="34">
        <f t="shared" si="26"/>
        <v>8.332917634406142</v>
      </c>
      <c r="D59" s="34">
        <f t="shared" si="26"/>
        <v>8.3204951697807594</v>
      </c>
      <c r="E59" s="34">
        <f t="shared" si="26"/>
        <v>8.4132055254024092</v>
      </c>
      <c r="F59" s="34">
        <f t="shared" si="26"/>
        <v>8.9971628522791747</v>
      </c>
      <c r="G59" s="34">
        <f t="shared" si="26"/>
        <v>8.3263903903903902</v>
      </c>
      <c r="H59" s="34">
        <f t="shared" si="26"/>
        <v>8.8214405657531678</v>
      </c>
      <c r="I59" s="34">
        <f t="shared" si="26"/>
        <v>8.6002696900987381</v>
      </c>
      <c r="J59" s="34">
        <f t="shared" si="26"/>
        <v>9.1639118902601897</v>
      </c>
      <c r="K59" s="34">
        <f t="shared" si="26"/>
        <v>9.8150905481601249</v>
      </c>
      <c r="L59" s="34">
        <f t="shared" si="26"/>
        <v>10.386293228921856</v>
      </c>
      <c r="M59" s="170">
        <f t="shared" ref="M59" si="27">M27/M44</f>
        <v>14.548536835670216</v>
      </c>
      <c r="N59" s="56"/>
      <c r="Q59" s="3" t="s">
        <v>8</v>
      </c>
      <c r="R59" s="3" t="s">
        <v>294</v>
      </c>
      <c r="S59" s="85">
        <f>VLOOKUP($Q59,$A$20:$L$28,2,FALSE)</f>
        <v>299721</v>
      </c>
      <c r="T59" s="85">
        <f>VLOOKUP($Q59,$A$20:$L$28,3,FALSE)</f>
        <v>332890</v>
      </c>
      <c r="U59" s="85">
        <f>VLOOKUP($Q59,$A$20:$L$28,4,FALSE)</f>
        <v>348612</v>
      </c>
      <c r="V59" s="85">
        <f>VLOOKUP($Q59,$A$20:$L$28,5,FALSE)</f>
        <v>360710</v>
      </c>
      <c r="W59" s="85">
        <f>VLOOKUP($Q59,$A$20:$L$28,6,FALSE)</f>
        <v>384069</v>
      </c>
      <c r="X59" s="85">
        <f>VLOOKUP($Q59,$A$20:$L$28,7,FALSE)</f>
        <v>390505</v>
      </c>
      <c r="Y59" s="91">
        <f>VLOOKUP($Q59,$A$20:$L$28,8,FALSE)</f>
        <v>410512.30344284588</v>
      </c>
      <c r="Z59" s="91">
        <f>VLOOKUP($Q59,$A$20:$L$28,9,FALSE)</f>
        <v>395292.54312492791</v>
      </c>
      <c r="AA59" s="91">
        <f>VLOOKUP($Q59,$A$20:$L$28,10,FALSE)</f>
        <v>416243.04791054904</v>
      </c>
      <c r="AB59" s="91">
        <f>VLOOKUP($Q59,$A$20:$L$28,11,FALSE)</f>
        <v>437471.44335398701</v>
      </c>
      <c r="AC59" s="162">
        <f>VLOOKUP($Q59,$A$20:$L$28,12,FALSE)</f>
        <v>454095.3582014385</v>
      </c>
      <c r="AD59" s="163">
        <f>VLOOKUP($Q59,$A$20:$M$28,13,FALSE)</f>
        <v>549455.38342374063</v>
      </c>
    </row>
    <row r="60" spans="1:30" x14ac:dyDescent="0.35">
      <c r="A60" s="19" t="s">
        <v>7</v>
      </c>
      <c r="B60" s="34">
        <f t="shared" ref="B60:L60" si="28">B28/B45</f>
        <v>9.3548901027441804</v>
      </c>
      <c r="C60" s="34">
        <f t="shared" si="28"/>
        <v>9.4097435554961937</v>
      </c>
      <c r="D60" s="34">
        <f t="shared" si="28"/>
        <v>9.9259474025309551</v>
      </c>
      <c r="E60" s="34">
        <f t="shared" si="28"/>
        <v>9.9798201589293178</v>
      </c>
      <c r="F60" s="34">
        <f t="shared" si="28"/>
        <v>10.866721090367005</v>
      </c>
      <c r="G60" s="34">
        <f t="shared" si="28"/>
        <v>10.039245631481744</v>
      </c>
      <c r="H60" s="34">
        <f t="shared" si="28"/>
        <v>10.681063330737171</v>
      </c>
      <c r="I60" s="34">
        <f t="shared" si="28"/>
        <v>10.558318746447462</v>
      </c>
      <c r="J60" s="34">
        <f t="shared" si="28"/>
        <v>11.226027469140009</v>
      </c>
      <c r="K60" s="34">
        <f t="shared" si="28"/>
        <v>12.056861641703675</v>
      </c>
      <c r="L60" s="34">
        <f t="shared" si="28"/>
        <v>12.795147646685278</v>
      </c>
      <c r="M60" s="170">
        <f t="shared" ref="M60" si="29">M28/M45</f>
        <v>18.36028081219623</v>
      </c>
      <c r="N60" s="56"/>
      <c r="Q60" s="3" t="s">
        <v>111</v>
      </c>
      <c r="R60" s="3" t="s">
        <v>294</v>
      </c>
      <c r="S60" s="85">
        <f>VLOOKUP($Q60,Iedz_sk!$B$14:$R$123,3,FALSE)*B$62</f>
        <v>21402.764364052586</v>
      </c>
      <c r="T60" s="85">
        <f>VLOOKUP($Q60,Iedz_sk!$B$14:$R$123,4,FALSE)*C$62</f>
        <v>23979.737206745282</v>
      </c>
      <c r="U60" s="85">
        <f>VLOOKUP($Q60,Iedz_sk!$B$14:$R$123,5,FALSE)*D$62</f>
        <v>23747.391440530766</v>
      </c>
      <c r="V60" s="85">
        <f>VLOOKUP($Q60,Iedz_sk!$B$14:$R$123,6,FALSE)*E$62</f>
        <v>24218.920984081044</v>
      </c>
      <c r="W60" s="85">
        <f>VLOOKUP($Q60,Iedz_sk!$B$14:$R$123,7,FALSE)*F$62</f>
        <v>25243.084657620253</v>
      </c>
      <c r="X60" s="85">
        <f>VLOOKUP($Q60,Iedz_sk!$B$14:$R$123,8,FALSE)*G$62</f>
        <v>26908.399344741916</v>
      </c>
      <c r="Y60" s="91">
        <f>VLOOKUP($Q60,Iedz_sk!$B$14:$R$123,9,FALSE)*H$62</f>
        <v>28017.428305007128</v>
      </c>
      <c r="Z60" s="91">
        <f>VLOOKUP($Q60,Iedz_sk!$B$14:$R$123,10,FALSE)*I$62</f>
        <v>26694.53395333705</v>
      </c>
      <c r="AA60" s="91">
        <f>VLOOKUP($Q60,Iedz_sk!$B$14:$R$123,11,FALSE)*J$62</f>
        <v>27810.482888863218</v>
      </c>
      <c r="AB60" s="91">
        <f>VLOOKUP($Q60,Iedz_sk!$B$14:$R$123,16,FALSE)*K$62</f>
        <v>29261.48419868261</v>
      </c>
      <c r="AC60" s="162">
        <f>VLOOKUP($Q60,Iedz_sk!$B$14:$R$123,17,FALSE)*L$62</f>
        <v>30408.578237007794</v>
      </c>
      <c r="AD60" s="163">
        <f>VLOOKUP($Q60,Iedz_sk!$B$14:$Y$123,24,FALSE)*M$62</f>
        <v>37193.618477070857</v>
      </c>
    </row>
    <row r="61" spans="1:30" x14ac:dyDescent="0.35">
      <c r="A61" s="96" t="s">
        <v>307</v>
      </c>
      <c r="B61" s="34">
        <f t="shared" ref="B61:L61" si="30">B30/B46</f>
        <v>9.8033464160297452</v>
      </c>
      <c r="C61" s="34">
        <f t="shared" si="30"/>
        <v>9.6747087819268298</v>
      </c>
      <c r="D61" s="34">
        <f t="shared" si="30"/>
        <v>10.266814063271513</v>
      </c>
      <c r="E61" s="34">
        <f t="shared" si="30"/>
        <v>11.037693314205539</v>
      </c>
      <c r="F61" s="34">
        <f t="shared" si="30"/>
        <v>12.31150821247487</v>
      </c>
      <c r="G61" s="34">
        <f t="shared" si="30"/>
        <v>12.574132680480085</v>
      </c>
      <c r="H61" s="34">
        <f t="shared" si="30"/>
        <v>13.09200542170989</v>
      </c>
      <c r="I61" s="34">
        <f t="shared" si="30"/>
        <v>12.43770565300844</v>
      </c>
      <c r="J61" s="34">
        <f t="shared" si="30"/>
        <v>12.973119835313064</v>
      </c>
      <c r="K61" s="34">
        <f t="shared" si="30"/>
        <v>13.676936288035021</v>
      </c>
      <c r="L61" s="34">
        <f t="shared" si="30"/>
        <v>14.240722152659579</v>
      </c>
      <c r="M61" s="170">
        <f t="shared" ref="M61" si="31">M30/M46</f>
        <v>17.614615137999937</v>
      </c>
      <c r="N61" s="56"/>
      <c r="Q61" s="3" t="s">
        <v>113</v>
      </c>
      <c r="R61" s="3" t="s">
        <v>294</v>
      </c>
      <c r="S61" s="85">
        <f>VLOOKUP($Q61,Iedz_sk!$B$14:$R$123,3,FALSE)*B$62</f>
        <v>25147.172148513378</v>
      </c>
      <c r="T61" s="85">
        <f>VLOOKUP($Q61,Iedz_sk!$B$14:$R$123,4,FALSE)*C$62</f>
        <v>28464.901603294104</v>
      </c>
      <c r="U61" s="85">
        <f>VLOOKUP($Q61,Iedz_sk!$B$14:$R$123,5,FALSE)*D$62</f>
        <v>28063.159884962555</v>
      </c>
      <c r="V61" s="85">
        <f>VLOOKUP($Q61,Iedz_sk!$B$14:$R$123,6,FALSE)*E$62</f>
        <v>28568.380897250361</v>
      </c>
      <c r="W61" s="85">
        <f>VLOOKUP($Q61,Iedz_sk!$B$14:$R$123,7,FALSE)*F$62</f>
        <v>29010.70923338447</v>
      </c>
      <c r="X61" s="85">
        <f>VLOOKUP($Q61,Iedz_sk!$B$14:$R$123,8,FALSE)*G$62</f>
        <v>31058.066293500007</v>
      </c>
      <c r="Y61" s="91">
        <f>VLOOKUP($Q61,Iedz_sk!$B$14:$R$123,9,FALSE)*H$62</f>
        <v>32482.247540785425</v>
      </c>
      <c r="Z61" s="91">
        <f>VLOOKUP($Q61,Iedz_sk!$B$14:$R$123,10,FALSE)*I$62</f>
        <v>32272.496271944794</v>
      </c>
      <c r="AA61" s="91">
        <f>VLOOKUP($Q61,Iedz_sk!$B$14:$R$123,11,FALSE)*J$62</f>
        <v>34128.042499270516</v>
      </c>
      <c r="AB61" s="91">
        <f>VLOOKUP($Q61,Iedz_sk!$B$14:$R$123,16,FALSE)*K$62</f>
        <v>35621.792916868486</v>
      </c>
      <c r="AC61" s="162">
        <f>VLOOKUP($Q61,Iedz_sk!$B$14:$R$123,17,FALSE)*L$62</f>
        <v>36706.340621439602</v>
      </c>
      <c r="AD61" s="163">
        <f>VLOOKUP($Q61,Iedz_sk!$B$14:$Y$123,24,FALSE)*M$62</f>
        <v>41602.684172913294</v>
      </c>
    </row>
    <row r="62" spans="1:30" x14ac:dyDescent="0.35">
      <c r="A62" s="96" t="s">
        <v>308</v>
      </c>
      <c r="B62" s="34">
        <f t="shared" ref="B62:L62" si="32">B31/B47</f>
        <v>6.1484528480472811</v>
      </c>
      <c r="C62" s="34">
        <f t="shared" si="32"/>
        <v>7.0632510181871222</v>
      </c>
      <c r="D62" s="34">
        <f t="shared" si="32"/>
        <v>7.1099974372846608</v>
      </c>
      <c r="E62" s="34">
        <f t="shared" si="32"/>
        <v>7.4222865412445733</v>
      </c>
      <c r="F62" s="34">
        <f t="shared" si="32"/>
        <v>7.8492178661754517</v>
      </c>
      <c r="G62" s="34">
        <f t="shared" si="32"/>
        <v>8.5914429580912888</v>
      </c>
      <c r="H62" s="34">
        <f t="shared" si="32"/>
        <v>9.1680066443086154</v>
      </c>
      <c r="I62" s="34">
        <f t="shared" si="32"/>
        <v>8.8539084422345109</v>
      </c>
      <c r="J62" s="34">
        <f t="shared" si="32"/>
        <v>9.4432879079331808</v>
      </c>
      <c r="K62" s="34">
        <f t="shared" si="32"/>
        <v>10.160237568987018</v>
      </c>
      <c r="L62" s="34">
        <f t="shared" si="32"/>
        <v>10.802336851512537</v>
      </c>
      <c r="M62" s="170">
        <f t="shared" ref="M62" si="33">M31/M47</f>
        <v>15.746663199437281</v>
      </c>
      <c r="N62" s="56"/>
      <c r="Q62" s="3" t="s">
        <v>12</v>
      </c>
      <c r="R62" s="3" t="s">
        <v>293</v>
      </c>
      <c r="S62" s="85">
        <f>VLOOKUP($Q62,Iedz_sk!$B$14:$R$123,3,FALSE)*B$63</f>
        <v>61693.641658440283</v>
      </c>
      <c r="T62" s="85">
        <f>VLOOKUP($Q62,Iedz_sk!$B$14:$R$123,4,FALSE)*C$63</f>
        <v>64462.481901345767</v>
      </c>
      <c r="U62" s="85">
        <f>VLOOKUP($Q62,Iedz_sk!$B$14:$R$123,5,FALSE)*D$63</f>
        <v>63086.647183399742</v>
      </c>
      <c r="V62" s="85">
        <f>VLOOKUP($Q62,Iedz_sk!$B$14:$R$123,6,FALSE)*E$63</f>
        <v>66363.31132095051</v>
      </c>
      <c r="W62" s="85">
        <f>VLOOKUP($Q62,Iedz_sk!$B$14:$R$123,7,FALSE)*F$63</f>
        <v>72395.411795466105</v>
      </c>
      <c r="X62" s="85">
        <f>VLOOKUP($Q62,Iedz_sk!$B$14:$R$123,8,FALSE)*G$63</f>
        <v>72771.516831298519</v>
      </c>
      <c r="Y62" s="91">
        <f>VLOOKUP($Q62,Iedz_sk!$B$14:$R$123,9,FALSE)*H$63</f>
        <v>76217.096129573634</v>
      </c>
      <c r="Z62" s="91">
        <f>VLOOKUP($Q62,Iedz_sk!$B$14:$R$123,10,FALSE)*I$63</f>
        <v>73598.814070544453</v>
      </c>
      <c r="AA62" s="91">
        <f>VLOOKUP($Q62,Iedz_sk!$B$14:$R$123,11,FALSE)*J$63</f>
        <v>77444.56019057885</v>
      </c>
      <c r="AB62" s="91">
        <f>VLOOKUP($Q62,Iedz_sk!$B$14:$R$123,16,FALSE)*K$63</f>
        <v>81467.568075940566</v>
      </c>
      <c r="AC62" s="162">
        <f>VLOOKUP($Q62,Iedz_sk!$B$14:$R$123,17,FALSE)*L$63</f>
        <v>84641.621598007841</v>
      </c>
      <c r="AD62" s="163">
        <f>VLOOKUP($Q62,Iedz_sk!$B$14:$Y$123,24,FALSE)*M$63</f>
        <v>103207.59680201909</v>
      </c>
    </row>
    <row r="63" spans="1:30" x14ac:dyDescent="0.35">
      <c r="A63" s="96" t="s">
        <v>309</v>
      </c>
      <c r="B63" s="34">
        <f t="shared" ref="B63:L63" si="34">B32/B48</f>
        <v>6.7424744981901945</v>
      </c>
      <c r="C63" s="34">
        <f t="shared" si="34"/>
        <v>7.1442404855752821</v>
      </c>
      <c r="D63" s="34">
        <f t="shared" si="34"/>
        <v>7.1019528518968524</v>
      </c>
      <c r="E63" s="34">
        <f t="shared" si="34"/>
        <v>7.640261492165612</v>
      </c>
      <c r="F63" s="34">
        <f t="shared" si="34"/>
        <v>8.4831745717677656</v>
      </c>
      <c r="G63" s="34">
        <f t="shared" si="34"/>
        <v>8.7099361856730724</v>
      </c>
      <c r="H63" s="34">
        <f t="shared" si="34"/>
        <v>9.303844742379594</v>
      </c>
      <c r="I63" s="34">
        <f t="shared" si="34"/>
        <v>8.9798455430142088</v>
      </c>
      <c r="J63" s="34">
        <f t="shared" si="34"/>
        <v>9.5811654324605779</v>
      </c>
      <c r="K63" s="34">
        <f t="shared" si="34"/>
        <v>10.252651406486354</v>
      </c>
      <c r="L63" s="34">
        <f t="shared" si="34"/>
        <v>10.838983429121249</v>
      </c>
      <c r="M63" s="170">
        <f t="shared" ref="M63" si="35">M32/M48</f>
        <v>15.066802452849503</v>
      </c>
      <c r="N63" s="56"/>
      <c r="Q63" s="3" t="s">
        <v>15</v>
      </c>
      <c r="R63" s="3" t="s">
        <v>293</v>
      </c>
      <c r="S63" s="85">
        <f>VLOOKUP($Q63,Iedz_sk!$B$14:$R$123,3,FALSE)*B$63</f>
        <v>9830.5278183613027</v>
      </c>
      <c r="T63" s="85">
        <f>VLOOKUP($Q63,Iedz_sk!$B$14:$R$123,4,FALSE)*C$63</f>
        <v>10373.437185055309</v>
      </c>
      <c r="U63" s="85">
        <f>VLOOKUP($Q63,Iedz_sk!$B$14:$R$123,5,FALSE)*D$63</f>
        <v>10056.365238285944</v>
      </c>
      <c r="V63" s="85">
        <f>VLOOKUP($Q63,Iedz_sk!$B$14:$R$123,6,FALSE)*E$63</f>
        <v>10558.841382172875</v>
      </c>
      <c r="W63" s="85">
        <f>VLOOKUP($Q63,Iedz_sk!$B$14:$R$123,7,FALSE)*F$63</f>
        <v>11409.869799027645</v>
      </c>
      <c r="X63" s="85">
        <f>VLOOKUP($Q63,Iedz_sk!$B$14:$R$123,8,FALSE)*G$63</f>
        <v>11514.535637459801</v>
      </c>
      <c r="Y63" s="91">
        <f>VLOOKUP($Q63,Iedz_sk!$B$14:$R$123,9,FALSE)*H$63</f>
        <v>11992.655872927297</v>
      </c>
      <c r="Z63" s="91">
        <f>VLOOKUP($Q63,Iedz_sk!$B$14:$R$123,10,FALSE)*I$63</f>
        <v>11718.698433633543</v>
      </c>
      <c r="AA63" s="91">
        <f>VLOOKUP($Q63,Iedz_sk!$B$14:$R$123,11,FALSE)*J$63</f>
        <v>12484.258558496133</v>
      </c>
      <c r="AB63" s="91">
        <f>VLOOKUP($Q63,Iedz_sk!$B$14:$R$123,16,FALSE)*K$63</f>
        <v>13102.888497489561</v>
      </c>
      <c r="AC63" s="162">
        <f>VLOOKUP($Q63,Iedz_sk!$B$14:$R$123,17,FALSE)*L$63</f>
        <v>13592.085220118046</v>
      </c>
      <c r="AD63" s="163">
        <f>VLOOKUP($Q63,Iedz_sk!$B$14:$Y$123,24,FALSE)*M$63</f>
        <v>16287.213451530313</v>
      </c>
    </row>
    <row r="64" spans="1:30" x14ac:dyDescent="0.35">
      <c r="A64" s="96" t="s">
        <v>310</v>
      </c>
      <c r="B64" s="34">
        <f t="shared" ref="B64:L64" si="36">B33/B49</f>
        <v>6.1717492435929637</v>
      </c>
      <c r="C64" s="34">
        <f t="shared" si="36"/>
        <v>6.7778650303760788</v>
      </c>
      <c r="D64" s="34">
        <f t="shared" si="36"/>
        <v>7.0709967829775673</v>
      </c>
      <c r="E64" s="34">
        <f t="shared" si="36"/>
        <v>7.2779953996477662</v>
      </c>
      <c r="F64" s="34">
        <f t="shared" si="36"/>
        <v>7.5531479182398789</v>
      </c>
      <c r="G64" s="34">
        <f t="shared" si="36"/>
        <v>7.8178457467507201</v>
      </c>
      <c r="H64" s="34">
        <f t="shared" si="36"/>
        <v>8.3211974508864763</v>
      </c>
      <c r="I64" s="34">
        <f t="shared" si="36"/>
        <v>8.0115313087049227</v>
      </c>
      <c r="J64" s="34">
        <f t="shared" si="36"/>
        <v>8.5342013124694311</v>
      </c>
      <c r="K64" s="34">
        <f t="shared" si="36"/>
        <v>9.1177594372096724</v>
      </c>
      <c r="L64" s="34">
        <f t="shared" si="36"/>
        <v>9.6234270103343214</v>
      </c>
      <c r="M64" s="170">
        <f t="shared" ref="M64" si="37">M33/M49</f>
        <v>13.198774808072089</v>
      </c>
      <c r="N64" s="56"/>
      <c r="Q64" s="3" t="s">
        <v>27</v>
      </c>
      <c r="R64" s="3" t="s">
        <v>293</v>
      </c>
      <c r="S64" s="85">
        <f>VLOOKUP($Q64,Iedz_sk!$B$14:$R$123,3,FALSE)*B$63</f>
        <v>40326.739973675554</v>
      </c>
      <c r="T64" s="85">
        <f>VLOOKUP($Q64,Iedz_sk!$B$14:$R$123,4,FALSE)*C$63</f>
        <v>41636.633549932747</v>
      </c>
      <c r="U64" s="85">
        <f>VLOOKUP($Q64,Iedz_sk!$B$14:$R$123,5,FALSE)*D$63</f>
        <v>41084.797248223294</v>
      </c>
      <c r="V64" s="85">
        <f>VLOOKUP($Q64,Iedz_sk!$B$14:$R$123,6,FALSE)*E$63</f>
        <v>43350.843706547683</v>
      </c>
      <c r="W64" s="85">
        <f>VLOOKUP($Q64,Iedz_sk!$B$14:$R$123,7,FALSE)*F$63</f>
        <v>47149.484269885244</v>
      </c>
      <c r="X64" s="85">
        <f>VLOOKUP($Q64,Iedz_sk!$B$14:$R$123,8,FALSE)*G$63</f>
        <v>48967.261235854014</v>
      </c>
      <c r="Y64" s="91">
        <f>VLOOKUP($Q64,Iedz_sk!$B$14:$R$123,9,FALSE)*H$63</f>
        <v>52417.861278566634</v>
      </c>
      <c r="Z64" s="91">
        <f>VLOOKUP($Q64,Iedz_sk!$B$14:$R$123,10,FALSE)*I$63</f>
        <v>51050.421912035774</v>
      </c>
      <c r="AA64" s="91">
        <f>VLOOKUP($Q64,Iedz_sk!$B$14:$R$123,11,FALSE)*J$63</f>
        <v>54344.370332916398</v>
      </c>
      <c r="AB64" s="91">
        <f>VLOOKUP($Q64,Iedz_sk!$B$14:$R$123,16,FALSE)*K$63</f>
        <v>56963.731214438187</v>
      </c>
      <c r="AC64" s="162">
        <f>VLOOKUP($Q64,Iedz_sk!$B$14:$R$123,17,FALSE)*L$63</f>
        <v>58964.069854419598</v>
      </c>
      <c r="AD64" s="163">
        <f>VLOOKUP($Q64,Iedz_sk!$B$14:$Y$123,24,FALSE)*M$63</f>
        <v>69759.295356693197</v>
      </c>
    </row>
    <row r="65" spans="1:30" x14ac:dyDescent="0.35">
      <c r="A65" s="96" t="s">
        <v>311</v>
      </c>
      <c r="B65" s="34">
        <f t="shared" ref="B65:L65" si="38">B34/B50</f>
        <v>4.2610950941910684</v>
      </c>
      <c r="C65" s="34">
        <f t="shared" si="38"/>
        <v>4.3989413039487939</v>
      </c>
      <c r="D65" s="34">
        <f t="shared" si="38"/>
        <v>4.6162975112917524</v>
      </c>
      <c r="E65" s="34">
        <f t="shared" si="38"/>
        <v>4.7814776403190358</v>
      </c>
      <c r="F65" s="34">
        <f t="shared" si="38"/>
        <v>5.3910063831814288</v>
      </c>
      <c r="G65" s="34">
        <f t="shared" si="38"/>
        <v>5.8382089396615209</v>
      </c>
      <c r="H65" s="34">
        <f t="shared" si="38"/>
        <v>6.2868243102114887</v>
      </c>
      <c r="I65" s="34">
        <f t="shared" si="38"/>
        <v>6.106776156516907</v>
      </c>
      <c r="J65" s="34">
        <f t="shared" si="38"/>
        <v>6.5759012189973536</v>
      </c>
      <c r="K65" s="34">
        <f t="shared" si="38"/>
        <v>7.0735763092401784</v>
      </c>
      <c r="L65" s="34">
        <f t="shared" si="38"/>
        <v>7.5189469549376575</v>
      </c>
      <c r="M65" s="170">
        <f t="shared" ref="M65" si="39">M34/M50</f>
        <v>10.939777110745341</v>
      </c>
      <c r="N65" s="56"/>
      <c r="Q65" s="3" t="s">
        <v>36</v>
      </c>
      <c r="R65" s="3" t="s">
        <v>293</v>
      </c>
      <c r="S65" s="85">
        <f>VLOOKUP($Q65,Iedz_sk!$B$14:$R$123,3,FALSE)*B$63</f>
        <v>28271.195570911485</v>
      </c>
      <c r="T65" s="85">
        <f>VLOOKUP($Q65,Iedz_sk!$B$14:$R$123,4,FALSE)*C$63</f>
        <v>29577.155610281668</v>
      </c>
      <c r="U65" s="85">
        <f>VLOOKUP($Q65,Iedz_sk!$B$14:$R$123,5,FALSE)*D$63</f>
        <v>28684.787568811385</v>
      </c>
      <c r="V65" s="85">
        <f>VLOOKUP($Q65,Iedz_sk!$B$14:$R$123,6,FALSE)*E$63</f>
        <v>30278.356293452322</v>
      </c>
      <c r="W65" s="85">
        <f>VLOOKUP($Q65,Iedz_sk!$B$14:$R$123,7,FALSE)*F$63</f>
        <v>32626.289403018825</v>
      </c>
      <c r="X65" s="85">
        <f>VLOOKUP($Q65,Iedz_sk!$B$14:$R$123,8,FALSE)*G$63</f>
        <v>32575.161334417291</v>
      </c>
      <c r="Y65" s="91">
        <f>VLOOKUP($Q65,Iedz_sk!$B$14:$R$123,9,FALSE)*H$63</f>
        <v>33875.298707004105</v>
      </c>
      <c r="Z65" s="91">
        <f>VLOOKUP($Q65,Iedz_sk!$B$14:$R$123,10,FALSE)*I$63</f>
        <v>32040.088897474696</v>
      </c>
      <c r="AA65" s="91">
        <f>VLOOKUP($Q65,Iedz_sk!$B$14:$R$123,11,FALSE)*J$63</f>
        <v>33409.523862990034</v>
      </c>
      <c r="AB65" s="91">
        <f>VLOOKUP($Q65,Iedz_sk!$B$14:$R$123,16,FALSE)*K$63</f>
        <v>35176.846975654684</v>
      </c>
      <c r="AC65" s="162">
        <f>VLOOKUP($Q65,Iedz_sk!$B$14:$R$123,17,FALSE)*L$63</f>
        <v>36570.730089855097</v>
      </c>
      <c r="AD65" s="163">
        <f>VLOOKUP($Q65,Iedz_sk!$B$14:$Y$123,24,FALSE)*M$63</f>
        <v>44884.00450703867</v>
      </c>
    </row>
    <row r="66" spans="1:30" x14ac:dyDescent="0.35">
      <c r="Q66" s="3" t="s">
        <v>37</v>
      </c>
      <c r="R66" s="3" t="s">
        <v>293</v>
      </c>
      <c r="S66" s="85">
        <f>VLOOKUP($Q66,Iedz_sk!$B$14:$R$123,3,FALSE)*B$63</f>
        <v>20018.406785126688</v>
      </c>
      <c r="T66" s="85">
        <f>VLOOKUP($Q66,Iedz_sk!$B$14:$R$123,4,FALSE)*C$63</f>
        <v>20868.326458365398</v>
      </c>
      <c r="U66" s="85">
        <f>VLOOKUP($Q66,Iedz_sk!$B$14:$R$123,5,FALSE)*D$63</f>
        <v>20268.973439313617</v>
      </c>
      <c r="V66" s="85">
        <f>VLOOKUP($Q66,Iedz_sk!$B$14:$R$123,6,FALSE)*E$63</f>
        <v>21217.006163743903</v>
      </c>
      <c r="W66" s="85">
        <f>VLOOKUP($Q66,Iedz_sk!$B$14:$R$123,7,FALSE)*F$63</f>
        <v>23150.583406354232</v>
      </c>
      <c r="X66" s="85">
        <f>VLOOKUP($Q66,Iedz_sk!$B$14:$R$123,8,FALSE)*G$63</f>
        <v>23351.338913789506</v>
      </c>
      <c r="Y66" s="91">
        <f>VLOOKUP($Q66,Iedz_sk!$B$14:$R$123,9,FALSE)*H$63</f>
        <v>24431.896293488815</v>
      </c>
      <c r="Z66" s="91">
        <f>VLOOKUP($Q66,Iedz_sk!$B$14:$R$123,10,FALSE)*I$63</f>
        <v>23949.248063218896</v>
      </c>
      <c r="AA66" s="91">
        <f>VLOOKUP($Q66,Iedz_sk!$B$14:$R$123,11,FALSE)*J$63</f>
        <v>25102.653433046715</v>
      </c>
      <c r="AB66" s="91">
        <f>VLOOKUP($Q66,Iedz_sk!$B$14:$R$123,16,FALSE)*K$63</f>
        <v>26277.545554824526</v>
      </c>
      <c r="AC66" s="162">
        <f>VLOOKUP($Q66,Iedz_sk!$B$14:$R$123,17,FALSE)*L$63</f>
        <v>27162.49247337785</v>
      </c>
      <c r="AD66" s="163">
        <f>VLOOKUP($Q66,Iedz_sk!$B$14:$Y$123,24,FALSE)*M$63</f>
        <v>31745.752768153903</v>
      </c>
    </row>
    <row r="67" spans="1:30" x14ac:dyDescent="0.35">
      <c r="A67" s="207" t="s">
        <v>408</v>
      </c>
      <c r="B67" s="216" t="s">
        <v>401</v>
      </c>
      <c r="C67" s="216"/>
      <c r="D67" s="216"/>
      <c r="E67" s="216"/>
      <c r="F67" s="216"/>
      <c r="G67" s="216"/>
      <c r="H67" s="216"/>
      <c r="I67" s="216"/>
      <c r="J67" s="216" t="s">
        <v>290</v>
      </c>
      <c r="K67" s="216"/>
      <c r="L67" s="216"/>
      <c r="M67" s="146"/>
      <c r="N67" s="207" t="s">
        <v>142</v>
      </c>
      <c r="O67" s="217" t="s">
        <v>402</v>
      </c>
      <c r="Q67" s="3" t="s">
        <v>41</v>
      </c>
      <c r="R67" s="3" t="s">
        <v>293</v>
      </c>
      <c r="S67" s="85">
        <f>VLOOKUP($Q67,Iedz_sk!$B$14:$R$123,3,FALSE)*B$63</f>
        <v>61653.186811451138</v>
      </c>
      <c r="T67" s="85">
        <f>VLOOKUP($Q67,Iedz_sk!$B$14:$R$123,4,FALSE)*C$63</f>
        <v>64662.52063494188</v>
      </c>
      <c r="U67" s="85">
        <f>VLOOKUP($Q67,Iedz_sk!$B$14:$R$123,5,FALSE)*D$63</f>
        <v>63413.337014586992</v>
      </c>
      <c r="V67" s="85">
        <f>VLOOKUP($Q67,Iedz_sk!$B$14:$R$123,6,FALSE)*E$63</f>
        <v>66966.891978831583</v>
      </c>
      <c r="W67" s="85">
        <f>VLOOKUP($Q67,Iedz_sk!$B$14:$R$123,7,FALSE)*F$63</f>
        <v>73082.548935779298</v>
      </c>
      <c r="X67" s="85">
        <f>VLOOKUP($Q67,Iedz_sk!$B$14:$R$123,8,FALSE)*G$63</f>
        <v>73851.548918321976</v>
      </c>
      <c r="Y67" s="91">
        <f>VLOOKUP($Q67,Iedz_sk!$B$14:$R$123,9,FALSE)*H$63</f>
        <v>78096.472767534317</v>
      </c>
      <c r="Z67" s="91">
        <f>VLOOKUP($Q67,Iedz_sk!$B$14:$R$123,10,FALSE)*I$63</f>
        <v>75412.742870233327</v>
      </c>
      <c r="AA67" s="91">
        <f>VLOOKUP($Q67,Iedz_sk!$B$14:$R$123,11,FALSE)*J$63</f>
        <v>79801.526886964159</v>
      </c>
      <c r="AB67" s="91">
        <f>VLOOKUP($Q67,Iedz_sk!$B$14:$R$123,16,FALSE)*K$63</f>
        <v>83928.204413497297</v>
      </c>
      <c r="AC67" s="162">
        <f>VLOOKUP($Q67,Iedz_sk!$B$14:$R$123,17,FALSE)*L$63</f>
        <v>87177.943720422205</v>
      </c>
      <c r="AD67" s="163">
        <f>VLOOKUP($Q67,Iedz_sk!$B$14:$Y$123,24,FALSE)*M$63</f>
        <v>106085.35607051334</v>
      </c>
    </row>
    <row r="68" spans="1:30" x14ac:dyDescent="0.35">
      <c r="A68" s="207"/>
      <c r="B68" s="90">
        <v>2013</v>
      </c>
      <c r="C68" s="90">
        <v>2014</v>
      </c>
      <c r="D68" s="90">
        <v>2015</v>
      </c>
      <c r="E68" s="90">
        <v>2016</v>
      </c>
      <c r="F68" s="90">
        <v>2017</v>
      </c>
      <c r="G68" s="90">
        <v>2018</v>
      </c>
      <c r="H68" s="90">
        <v>2019</v>
      </c>
      <c r="I68" s="90">
        <v>2020</v>
      </c>
      <c r="J68" s="90">
        <v>2021</v>
      </c>
      <c r="K68" s="90">
        <v>2022</v>
      </c>
      <c r="L68" s="90">
        <v>2023</v>
      </c>
      <c r="M68" s="166">
        <v>2030</v>
      </c>
      <c r="N68" s="207"/>
      <c r="O68" s="218"/>
      <c r="Q68" s="3" t="s">
        <v>59</v>
      </c>
      <c r="R68" s="3" t="s">
        <v>293</v>
      </c>
      <c r="S68" s="85">
        <f>VLOOKUP($Q68,Iedz_sk!$B$14:$R$123,3,FALSE)*B$63</f>
        <v>165453.58171108918</v>
      </c>
      <c r="T68" s="85">
        <f>VLOOKUP($Q68,Iedz_sk!$B$14:$R$123,4,FALSE)*C$63</f>
        <v>172819.17734606608</v>
      </c>
      <c r="U68" s="85">
        <f>VLOOKUP($Q68,Iedz_sk!$B$14:$R$123,5,FALSE)*D$63</f>
        <v>169722.46925463097</v>
      </c>
      <c r="V68" s="85">
        <f>VLOOKUP($Q68,Iedz_sk!$B$14:$R$123,6,FALSE)*E$63</f>
        <v>179660.74898827437</v>
      </c>
      <c r="W68" s="85">
        <f>VLOOKUP($Q68,Iedz_sk!$B$14:$R$123,7,FALSE)*F$63</f>
        <v>195019.70023036917</v>
      </c>
      <c r="X68" s="85">
        <f>VLOOKUP($Q68,Iedz_sk!$B$14:$R$123,8,FALSE)*G$63</f>
        <v>197105.85588178164</v>
      </c>
      <c r="Y68" s="91">
        <f>VLOOKUP($Q68,Iedz_sk!$B$14:$R$123,9,FALSE)*H$63</f>
        <v>207596.68773671589</v>
      </c>
      <c r="Z68" s="91">
        <f>VLOOKUP($Q68,Iedz_sk!$B$14:$R$123,10,FALSE)*I$63</f>
        <v>199478.28889251762</v>
      </c>
      <c r="AA68" s="91">
        <f>VLOOKUP($Q68,Iedz_sk!$B$14:$R$123,11,FALSE)*J$63</f>
        <v>209894.59112891389</v>
      </c>
      <c r="AB68" s="91">
        <f>VLOOKUP($Q68,Iedz_sk!$B$14:$R$123,16,FALSE)*K$63</f>
        <v>221149.69083791066</v>
      </c>
      <c r="AC68" s="162">
        <f>VLOOKUP($Q68,Iedz_sk!$B$14:$R$123,17,FALSE)*L$63</f>
        <v>230154.97413396061</v>
      </c>
      <c r="AD68" s="163">
        <f>VLOOKUP($Q68,Iedz_sk!$B$14:$Y$123,24,FALSE)*M$63</f>
        <v>284431.09670489293</v>
      </c>
    </row>
    <row r="69" spans="1:30" x14ac:dyDescent="0.35">
      <c r="A69" s="215" t="s">
        <v>0</v>
      </c>
      <c r="B69" s="215"/>
      <c r="C69" s="215"/>
      <c r="D69" s="215"/>
      <c r="E69" s="215"/>
      <c r="F69" s="215"/>
      <c r="G69" s="215"/>
      <c r="H69" s="215"/>
      <c r="I69" s="215"/>
      <c r="J69" s="215"/>
      <c r="K69" s="215"/>
      <c r="L69" s="215"/>
      <c r="M69" s="215"/>
      <c r="N69" s="215"/>
      <c r="O69" s="215"/>
      <c r="Q69" s="3" t="s">
        <v>6</v>
      </c>
      <c r="R69" s="3" t="s">
        <v>293</v>
      </c>
      <c r="S69" s="85">
        <f>VLOOKUP($Q69,$A$20:$L$28,2,FALSE)</f>
        <v>717871</v>
      </c>
      <c r="T69" s="85">
        <f>VLOOKUP($Q69,$A$20:$L$28,3,FALSE)</f>
        <v>704779</v>
      </c>
      <c r="U69" s="85">
        <f>VLOOKUP($Q69,$A$20:$L$28,4,FALSE)</f>
        <v>747871</v>
      </c>
      <c r="V69" s="85">
        <f>VLOOKUP($Q69,$A$20:$L$28,5,FALSE)</f>
        <v>797249</v>
      </c>
      <c r="W69" s="85">
        <f>VLOOKUP($Q69,$A$20:$L$28,6,FALSE)</f>
        <v>835320</v>
      </c>
      <c r="X69" s="85">
        <f>VLOOKUP($Q69,$A$20:$L$28,7,FALSE)</f>
        <v>897384</v>
      </c>
      <c r="Y69" s="91">
        <f>VLOOKUP($Q69,$A$20:$L$28,8,FALSE)</f>
        <v>943360.96314453031</v>
      </c>
      <c r="Z69" s="91">
        <f>VLOOKUP($Q69,$A$20:$L$28,9,FALSE)</f>
        <v>908385.81713325123</v>
      </c>
      <c r="AA69" s="91">
        <f>VLOOKUP($Q69,$A$20:$L$28,10,FALSE)</f>
        <v>956530.2654413135</v>
      </c>
      <c r="AB69" s="91">
        <f>VLOOKUP($Q69,$A$20:$L$28,11,FALSE)</f>
        <v>1005313.3089788205</v>
      </c>
      <c r="AC69" s="162">
        <f>VLOOKUP($Q69,$A$20:$L$28,12,FALSE)</f>
        <v>1043515.2147200156</v>
      </c>
      <c r="AD69" s="163">
        <f>VLOOKUP($Q69,$A$20:$M$28,13,FALSE)</f>
        <v>1262653.409811219</v>
      </c>
    </row>
    <row r="70" spans="1:30" x14ac:dyDescent="0.35">
      <c r="A70" s="98" t="s">
        <v>135</v>
      </c>
      <c r="B70" s="3"/>
      <c r="C70" s="3"/>
      <c r="D70" s="3"/>
      <c r="E70" s="3"/>
      <c r="F70" s="3"/>
      <c r="G70" s="3"/>
      <c r="H70" s="3"/>
      <c r="I70" s="3"/>
      <c r="J70" s="93">
        <f>ROUNDUP(J37*(Riga_iedz!$G$5+Riga_iedz!$G$7),0)</f>
        <v>183869</v>
      </c>
      <c r="K70" s="93">
        <f>ROUNDUP(K37*(Riga_iedz!$G$5+Riga_iedz!$G$7),0)</f>
        <v>184214</v>
      </c>
      <c r="L70" s="93">
        <f>ROUNDUP(L37*(Riga_iedz!$G$5+Riga_iedz!$G$7),0)</f>
        <v>184559</v>
      </c>
      <c r="M70" s="169">
        <f>ROUNDUP(M37*(Riga_iedz!$G$5+Riga_iedz!$G$7),0)</f>
        <v>186975</v>
      </c>
      <c r="N70" s="3"/>
      <c r="O70" s="3"/>
      <c r="Q70" s="3" t="s">
        <v>72</v>
      </c>
      <c r="R70" s="3" t="s">
        <v>293</v>
      </c>
      <c r="S70" s="85">
        <f>VLOOKUP($Q70,Iedz_sk!$B$14:$R$123,3,FALSE)*B$63</f>
        <v>10828.414044093452</v>
      </c>
      <c r="T70" s="85">
        <f>VLOOKUP($Q70,Iedz_sk!$B$14:$R$123,4,FALSE)*C$63</f>
        <v>11537.948384204081</v>
      </c>
      <c r="U70" s="85">
        <f>VLOOKUP($Q70,Iedz_sk!$B$14:$R$123,5,FALSE)*D$63</f>
        <v>11235.28941170082</v>
      </c>
      <c r="V70" s="85">
        <f>VLOOKUP($Q70,Iedz_sk!$B$14:$R$123,6,FALSE)*E$63</f>
        <v>11872.966358825361</v>
      </c>
      <c r="W70" s="85">
        <f>VLOOKUP($Q70,Iedz_sk!$B$14:$R$123,7,FALSE)*F$63</f>
        <v>12902.908523658771</v>
      </c>
      <c r="X70" s="85">
        <f>VLOOKUP($Q70,Iedz_sk!$B$14:$R$123,8,FALSE)*G$63</f>
        <v>12873.285682424801</v>
      </c>
      <c r="Y70" s="91">
        <f>VLOOKUP($Q70,Iedz_sk!$B$14:$R$123,9,FALSE)*H$63</f>
        <v>13388.232584284237</v>
      </c>
      <c r="Z70" s="91">
        <f>VLOOKUP($Q70,Iedz_sk!$B$14:$R$123,10,FALSE)*I$63</f>
        <v>13056.695419542659</v>
      </c>
      <c r="AA70" s="91">
        <f>VLOOKUP($Q70,Iedz_sk!$B$14:$R$123,11,FALSE)*J$63</f>
        <v>13710.647733851087</v>
      </c>
      <c r="AB70" s="91">
        <f>VLOOKUP($Q70,Iedz_sk!$B$14:$R$123,16,FALSE)*K$63</f>
        <v>14435.733180332787</v>
      </c>
      <c r="AC70" s="162">
        <f>VLOOKUP($Q70,Iedz_sk!$B$14:$R$123,17,FALSE)*L$63</f>
        <v>15011.99204933293</v>
      </c>
      <c r="AD70" s="163">
        <f>VLOOKUP($Q70,Iedz_sk!$B$14:$Y$123,24,FALSE)*M$63</f>
        <v>18411.632597382093</v>
      </c>
    </row>
    <row r="71" spans="1:30" x14ac:dyDescent="0.35">
      <c r="A71" s="98" t="s">
        <v>136</v>
      </c>
      <c r="B71" s="3"/>
      <c r="C71" s="3"/>
      <c r="D71" s="3"/>
      <c r="E71" s="3"/>
      <c r="F71" s="3"/>
      <c r="G71" s="3"/>
      <c r="H71" s="3"/>
      <c r="I71" s="3"/>
      <c r="J71" s="93">
        <f>ROUNDUP(J37*Riga_iedz!$G$6,0)</f>
        <v>112248</v>
      </c>
      <c r="K71" s="93">
        <f>ROUNDUP(K37*Riga_iedz!$G$6,0)</f>
        <v>112459</v>
      </c>
      <c r="L71" s="93">
        <f>ROUNDUP(L37*Riga_iedz!$G$6,0)</f>
        <v>112669</v>
      </c>
      <c r="M71" s="169">
        <f>ROUNDUP(M37*Riga_iedz!$G$6,0)</f>
        <v>114144</v>
      </c>
      <c r="N71" s="3"/>
      <c r="O71" s="3"/>
      <c r="Q71" s="3" t="s">
        <v>75</v>
      </c>
      <c r="R71" s="3" t="s">
        <v>293</v>
      </c>
      <c r="S71" s="85">
        <f>VLOOKUP($Q71,Iedz_sk!$B$14:$R$123,3,FALSE)*B$63</f>
        <v>23780.707555116816</v>
      </c>
      <c r="T71" s="85">
        <f>VLOOKUP($Q71,Iedz_sk!$B$14:$R$123,4,FALSE)*C$63</f>
        <v>24876.245370773133</v>
      </c>
      <c r="U71" s="85">
        <f>VLOOKUP($Q71,Iedz_sk!$B$14:$R$123,5,FALSE)*D$63</f>
        <v>24281.576800635339</v>
      </c>
      <c r="V71" s="85">
        <f>VLOOKUP($Q71,Iedz_sk!$B$14:$R$123,6,FALSE)*E$63</f>
        <v>25335.10710802117</v>
      </c>
      <c r="W71" s="85">
        <f>VLOOKUP($Q71,Iedz_sk!$B$14:$R$123,7,FALSE)*F$63</f>
        <v>27807.846246254736</v>
      </c>
      <c r="X71" s="85">
        <f>VLOOKUP($Q71,Iedz_sk!$B$14:$R$123,8,FALSE)*G$63</f>
        <v>27950.185219824889</v>
      </c>
      <c r="Y71" s="91">
        <f>VLOOKUP($Q71,Iedz_sk!$B$14:$R$123,9,FALSE)*H$63</f>
        <v>29325.718627980481</v>
      </c>
      <c r="Z71" s="91">
        <f>VLOOKUP($Q71,Iedz_sk!$B$14:$R$123,10,FALSE)*I$63</f>
        <v>27945.279329860219</v>
      </c>
      <c r="AA71" s="91">
        <f>VLOOKUP($Q71,Iedz_sk!$B$14:$R$123,11,FALSE)*J$63</f>
        <v>29826.167991249778</v>
      </c>
      <c r="AB71" s="91">
        <f>VLOOKUP($Q71,Iedz_sk!$B$14:$R$123,16,FALSE)*K$63</f>
        <v>31352.608001035271</v>
      </c>
      <c r="AC71" s="162">
        <f>VLOOKUP($Q71,Iedz_sk!$B$14:$R$123,17,FALSE)*L$63</f>
        <v>32549.467237651112</v>
      </c>
      <c r="AD71" s="163">
        <f>VLOOKUP($Q71,Iedz_sk!$B$14:$Y$123,24,FALSE)*M$63</f>
        <v>39414.755216654303</v>
      </c>
    </row>
    <row r="72" spans="1:30" x14ac:dyDescent="0.35">
      <c r="A72" s="98" t="s">
        <v>137</v>
      </c>
      <c r="B72" s="3"/>
      <c r="C72" s="3"/>
      <c r="D72" s="3"/>
      <c r="E72" s="3"/>
      <c r="F72" s="3"/>
      <c r="G72" s="3"/>
      <c r="H72" s="3"/>
      <c r="I72" s="3"/>
      <c r="J72" s="93">
        <f>ROUNDUP(J37*Riga_iedz!$G$9,0)</f>
        <v>90127</v>
      </c>
      <c r="K72" s="93">
        <f>ROUNDUP(K37*Riga_iedz!$G$9,0)</f>
        <v>90296</v>
      </c>
      <c r="L72" s="93">
        <f>ROUNDUP(L37*Riga_iedz!$G$9,0)</f>
        <v>90465</v>
      </c>
      <c r="M72" s="169">
        <f>ROUNDUP(M37*Riga_iedz!$G$9,0)</f>
        <v>91649</v>
      </c>
      <c r="N72" s="3"/>
      <c r="O72" s="3"/>
      <c r="Q72" s="3" t="s">
        <v>80</v>
      </c>
      <c r="R72" s="3" t="s">
        <v>293</v>
      </c>
      <c r="S72" s="85">
        <f>VLOOKUP($Q72,Iedz_sk!$B$14:$R$123,3,FALSE)*B$63</f>
        <v>19007.035610398158</v>
      </c>
      <c r="T72" s="85">
        <f>VLOOKUP($Q72,Iedz_sk!$B$14:$R$123,4,FALSE)*C$63</f>
        <v>19589.507411447423</v>
      </c>
      <c r="U72" s="85">
        <f>VLOOKUP($Q72,Iedz_sk!$B$14:$R$123,5,FALSE)*D$63</f>
        <v>19182.374652973398</v>
      </c>
      <c r="V72" s="85">
        <f>VLOOKUP($Q72,Iedz_sk!$B$14:$R$123,6,FALSE)*E$63</f>
        <v>20307.815046176198</v>
      </c>
      <c r="W72" s="85">
        <f>VLOOKUP($Q72,Iedz_sk!$B$14:$R$123,7,FALSE)*F$63</f>
        <v>22191.984679744473</v>
      </c>
      <c r="X72" s="85">
        <f>VLOOKUP($Q72,Iedz_sk!$B$14:$R$123,8,FALSE)*G$63</f>
        <v>22428.08567810816</v>
      </c>
      <c r="Y72" s="91">
        <f>VLOOKUP($Q72,Iedz_sk!$B$14:$R$123,9,FALSE)*H$63</f>
        <v>23557.334887705132</v>
      </c>
      <c r="Z72" s="91">
        <f>VLOOKUP($Q72,Iedz_sk!$B$14:$R$123,10,FALSE)*I$63</f>
        <v>23320.658875207901</v>
      </c>
      <c r="AA72" s="91">
        <f>VLOOKUP($Q72,Iedz_sk!$B$14:$R$123,11,FALSE)*J$63</f>
        <v>24364.903694747249</v>
      </c>
      <c r="AB72" s="91">
        <f>VLOOKUP($Q72,Iedz_sk!$B$14:$R$123,16,FALSE)*K$63</f>
        <v>25611.123213402912</v>
      </c>
      <c r="AC72" s="162">
        <f>VLOOKUP($Q72,Iedz_sk!$B$14:$R$123,17,FALSE)*L$63</f>
        <v>26588.026351634424</v>
      </c>
      <c r="AD72" s="163">
        <f>VLOOKUP($Q72,Iedz_sk!$B$14:$Y$123,24,FALSE)*M$63</f>
        <v>32197.756841739389</v>
      </c>
    </row>
    <row r="73" spans="1:30" x14ac:dyDescent="0.35">
      <c r="A73" s="98" t="s">
        <v>138</v>
      </c>
      <c r="B73" s="3"/>
      <c r="C73" s="3"/>
      <c r="D73" s="3"/>
      <c r="E73" s="3"/>
      <c r="F73" s="3"/>
      <c r="G73" s="3"/>
      <c r="H73" s="3"/>
      <c r="I73" s="3"/>
      <c r="J73" s="93">
        <f>ROUNDUP(J37*(Riga_iedz!$G$8+Riga_iedz!$G$10),0)</f>
        <v>228376</v>
      </c>
      <c r="K73" s="93">
        <f>ROUNDUP(K37*(Riga_iedz!$G$8+Riga_iedz!$G$10),0)</f>
        <v>228805</v>
      </c>
      <c r="L73" s="93">
        <f>ROUNDUP(L37*(Riga_iedz!$G$8+Riga_iedz!$G$10),0)</f>
        <v>229233</v>
      </c>
      <c r="M73" s="169">
        <f>ROUNDUP(M37*(Riga_iedz!$G$8+Riga_iedz!$G$10),0)</f>
        <v>232234</v>
      </c>
      <c r="N73" s="3"/>
      <c r="O73" s="3"/>
      <c r="Q73" s="3" t="s">
        <v>83</v>
      </c>
      <c r="R73" s="3" t="s">
        <v>293</v>
      </c>
      <c r="S73" s="85">
        <f>VLOOKUP($Q73,Iedz_sk!$B$14:$R$123,3,FALSE)*B$63</f>
        <v>38749.000941099046</v>
      </c>
      <c r="T73" s="85">
        <f>VLOOKUP($Q73,Iedz_sk!$B$14:$R$123,4,FALSE)*C$63</f>
        <v>40457.833869812821</v>
      </c>
      <c r="U73" s="85">
        <f>VLOOKUP($Q73,Iedz_sk!$B$14:$R$123,5,FALSE)*D$63</f>
        <v>39451.348092287015</v>
      </c>
      <c r="V73" s="85">
        <f>VLOOKUP($Q73,Iedz_sk!$B$14:$R$123,6,FALSE)*E$63</f>
        <v>41249.771796202142</v>
      </c>
      <c r="W73" s="85">
        <f>VLOOKUP($Q73,Iedz_sk!$B$14:$R$123,7,FALSE)*F$63</f>
        <v>45266.219514952798</v>
      </c>
      <c r="X73" s="85">
        <f>VLOOKUP($Q73,Iedz_sk!$B$14:$R$123,8,FALSE)*G$63</f>
        <v>45317.797974056994</v>
      </c>
      <c r="Y73" s="91">
        <f>VLOOKUP($Q73,Iedz_sk!$B$14:$R$123,9,FALSE)*H$63</f>
        <v>47142.581309637404</v>
      </c>
      <c r="Z73" s="91">
        <f>VLOOKUP($Q73,Iedz_sk!$B$14:$R$123,10,FALSE)*I$63</f>
        <v>45491.897520909981</v>
      </c>
      <c r="AA73" s="91">
        <f>VLOOKUP($Q73,Iedz_sk!$B$14:$R$123,11,FALSE)*J$63</f>
        <v>47474.674717842165</v>
      </c>
      <c r="AB73" s="91">
        <f>VLOOKUP($Q73,Iedz_sk!$B$14:$R$123,16,FALSE)*K$63</f>
        <v>49909.907046775574</v>
      </c>
      <c r="AC73" s="162">
        <f>VLOOKUP($Q73,Iedz_sk!$B$14:$R$123,17,FALSE)*L$63</f>
        <v>51821.17977462869</v>
      </c>
      <c r="AD73" s="163">
        <f>VLOOKUP($Q73,Iedz_sk!$B$14:$Y$123,24,FALSE)*M$63</f>
        <v>62828.566228382428</v>
      </c>
    </row>
    <row r="74" spans="1:30" x14ac:dyDescent="0.35">
      <c r="A74" s="215" t="s">
        <v>409</v>
      </c>
      <c r="B74" s="215"/>
      <c r="C74" s="215"/>
      <c r="D74" s="215"/>
      <c r="E74" s="215"/>
      <c r="F74" s="215"/>
      <c r="G74" s="215"/>
      <c r="H74" s="215"/>
      <c r="I74" s="215"/>
      <c r="J74" s="215"/>
      <c r="K74" s="215"/>
      <c r="L74" s="215"/>
      <c r="M74" s="215"/>
      <c r="N74" s="215"/>
      <c r="O74" s="215"/>
      <c r="Q74" s="3" t="s">
        <v>88</v>
      </c>
      <c r="R74" s="3" t="s">
        <v>293</v>
      </c>
      <c r="S74" s="85">
        <f>VLOOKUP($Q74,Iedz_sk!$B$14:$R$123,3,FALSE)*B$63</f>
        <v>26518.152201382036</v>
      </c>
      <c r="T74" s="85">
        <f>VLOOKUP($Q74,Iedz_sk!$B$14:$R$123,4,FALSE)*C$63</f>
        <v>27512.470109950413</v>
      </c>
      <c r="U74" s="85">
        <f>VLOOKUP($Q74,Iedz_sk!$B$14:$R$123,5,FALSE)*D$63</f>
        <v>26980.318884356144</v>
      </c>
      <c r="V74" s="85">
        <f>VLOOKUP($Q74,Iedz_sk!$B$14:$R$123,6,FALSE)*E$63</f>
        <v>28650.980595621044</v>
      </c>
      <c r="W74" s="85">
        <f>VLOOKUP($Q74,Iedz_sk!$B$14:$R$123,7,FALSE)*F$63</f>
        <v>30861.78909209113</v>
      </c>
      <c r="X74" s="85">
        <f>VLOOKUP($Q74,Iedz_sk!$B$14:$R$123,8,FALSE)*G$63</f>
        <v>30719.944926868928</v>
      </c>
      <c r="Y74" s="91">
        <f>VLOOKUP($Q74,Iedz_sk!$B$14:$R$123,9,FALSE)*H$63</f>
        <v>31884.275932134868</v>
      </c>
      <c r="Z74" s="91">
        <f>VLOOKUP($Q74,Iedz_sk!$B$14:$R$123,10,FALSE)*I$63</f>
        <v>30854.749285796821</v>
      </c>
      <c r="AA74" s="91">
        <f>VLOOKUP($Q74,Iedz_sk!$B$14:$R$123,11,FALSE)*J$63</f>
        <v>32480.150816041358</v>
      </c>
      <c r="AB74" s="91">
        <f>VLOOKUP($Q74,Iedz_sk!$B$14:$R$123,16,FALSE)*K$63</f>
        <v>34120.823880786586</v>
      </c>
      <c r="AC74" s="162">
        <f>VLOOKUP($Q74,Iedz_sk!$B$14:$R$123,17,FALSE)*L$63</f>
        <v>35400.119879509999</v>
      </c>
      <c r="AD74" s="163">
        <f>VLOOKUP($Q74,Iedz_sk!$B$14:$Y$123,24,FALSE)*M$63</f>
        <v>42654.117744016941</v>
      </c>
    </row>
    <row r="75" spans="1:30" x14ac:dyDescent="0.35">
      <c r="A75" s="98" t="s">
        <v>135</v>
      </c>
      <c r="B75" s="3"/>
      <c r="C75" s="3"/>
      <c r="D75" s="3"/>
      <c r="E75" s="3"/>
      <c r="F75" s="3"/>
      <c r="G75" s="3"/>
      <c r="H75" s="3"/>
      <c r="I75" s="3"/>
      <c r="J75" s="91">
        <f t="shared" ref="J75:L78" si="40">J70*J$52</f>
        <v>5228143.5548050608</v>
      </c>
      <c r="K75" s="91">
        <f t="shared" si="40"/>
        <v>5494772.0032940069</v>
      </c>
      <c r="L75" s="91">
        <f t="shared" si="40"/>
        <v>5703575.4772889027</v>
      </c>
      <c r="M75" s="163">
        <f t="shared" ref="M75" si="41">M70*M$52</f>
        <v>6901336.9099097596</v>
      </c>
      <c r="N75" s="3"/>
      <c r="O75" s="3"/>
      <c r="Q75" s="3" t="s">
        <v>90</v>
      </c>
      <c r="R75" s="3" t="s">
        <v>293</v>
      </c>
      <c r="S75" s="85">
        <f>VLOOKUP($Q75,Iedz_sk!$B$14:$R$123,3,FALSE)*B$63</f>
        <v>11650.995932872656</v>
      </c>
      <c r="T75" s="85">
        <f>VLOOKUP($Q75,Iedz_sk!$B$14:$R$123,4,FALSE)*C$63</f>
        <v>12223.795470819308</v>
      </c>
      <c r="U75" s="85">
        <f>VLOOKUP($Q75,Iedz_sk!$B$14:$R$123,5,FALSE)*D$63</f>
        <v>11938.382744038609</v>
      </c>
      <c r="V75" s="85">
        <f>VLOOKUP($Q75,Iedz_sk!$B$14:$R$123,6,FALSE)*E$63</f>
        <v>12606.43146207326</v>
      </c>
      <c r="W75" s="85">
        <f>VLOOKUP($Q75,Iedz_sk!$B$14:$R$123,7,FALSE)*F$63</f>
        <v>13793.641853694387</v>
      </c>
      <c r="X75" s="85">
        <f>VLOOKUP($Q75,Iedz_sk!$B$14:$R$123,8,FALSE)*G$63</f>
        <v>13395.881853565184</v>
      </c>
      <c r="Y75" s="91">
        <f>VLOOKUP($Q75,Iedz_sk!$B$14:$R$123,9,FALSE)*H$63</f>
        <v>13751.082529237039</v>
      </c>
      <c r="Z75" s="91">
        <f>VLOOKUP($Q75,Iedz_sk!$B$14:$R$123,10,FALSE)*I$63</f>
        <v>13496.707851150355</v>
      </c>
      <c r="AA75" s="91">
        <f>VLOOKUP($Q75,Iedz_sk!$B$14:$R$123,11,FALSE)*J$63</f>
        <v>14419.653975853169</v>
      </c>
      <c r="AB75" s="91">
        <f>VLOOKUP($Q75,Iedz_sk!$B$14:$R$123,16,FALSE)*K$63</f>
        <v>14999.629007689537</v>
      </c>
      <c r="AC75" s="162">
        <f>VLOOKUP($Q75,Iedz_sk!$B$14:$R$123,17,FALSE)*L$63</f>
        <v>15402.195452781296</v>
      </c>
      <c r="AD75" s="163">
        <f>VLOOKUP($Q75,Iedz_sk!$B$14:$Y$123,24,FALSE)*M$63</f>
        <v>16980.286364361389</v>
      </c>
    </row>
    <row r="76" spans="1:30" x14ac:dyDescent="0.35">
      <c r="A76" s="98" t="s">
        <v>136</v>
      </c>
      <c r="B76" s="3"/>
      <c r="C76" s="3"/>
      <c r="D76" s="3"/>
      <c r="E76" s="3"/>
      <c r="F76" s="3"/>
      <c r="G76" s="3"/>
      <c r="H76" s="3"/>
      <c r="I76" s="3"/>
      <c r="J76" s="91">
        <f t="shared" si="40"/>
        <v>3191667.2073038877</v>
      </c>
      <c r="K76" s="91">
        <f t="shared" si="40"/>
        <v>3354449.524566215</v>
      </c>
      <c r="L76" s="91">
        <f t="shared" si="40"/>
        <v>3481900.8850864135</v>
      </c>
      <c r="M76" s="163">
        <f t="shared" ref="M76" si="42">M71*M$52</f>
        <v>4213109.775342905</v>
      </c>
      <c r="N76" s="3"/>
      <c r="O76" s="3"/>
      <c r="Q76" s="3" t="s">
        <v>97</v>
      </c>
      <c r="R76" s="3" t="s">
        <v>293</v>
      </c>
      <c r="S76" s="85">
        <f>VLOOKUP($Q76,Iedz_sk!$B$14:$R$123,3,FALSE)*B$63</f>
        <v>167948.29727541955</v>
      </c>
      <c r="T76" s="85">
        <f>VLOOKUP($Q76,Iedz_sk!$B$14:$R$123,4,FALSE)*C$63</f>
        <v>174991.02645368097</v>
      </c>
      <c r="U76" s="85">
        <f>VLOOKUP($Q76,Iedz_sk!$B$14:$R$123,5,FALSE)*D$63</f>
        <v>171064.73834363947</v>
      </c>
      <c r="V76" s="85">
        <f>VLOOKUP($Q76,Iedz_sk!$B$14:$R$123,6,FALSE)*E$63</f>
        <v>180776.22716613056</v>
      </c>
      <c r="W76" s="85">
        <f>VLOOKUP($Q76,Iedz_sk!$B$14:$R$123,7,FALSE)*F$63</f>
        <v>195155.43102351745</v>
      </c>
      <c r="X76" s="85">
        <f>VLOOKUP($Q76,Iedz_sk!$B$14:$R$123,8,FALSE)*G$63</f>
        <v>195294.18915516164</v>
      </c>
      <c r="Y76" s="91">
        <f>VLOOKUP($Q76,Iedz_sk!$B$14:$R$123,9,FALSE)*H$63</f>
        <v>204740.40740080536</v>
      </c>
      <c r="Z76" s="91">
        <f>VLOOKUP($Q76,Iedz_sk!$B$14:$R$123,10,FALSE)*I$63</f>
        <v>195563.07623576344</v>
      </c>
      <c r="AA76" s="91">
        <f>VLOOKUP($Q76,Iedz_sk!$B$14:$R$123,11,FALSE)*J$63</f>
        <v>205401.02454108986</v>
      </c>
      <c r="AB76" s="91">
        <f>VLOOKUP($Q76,Iedz_sk!$B$14:$R$123,16,FALSE)*K$63</f>
        <v>215264.6689305875</v>
      </c>
      <c r="AC76" s="162">
        <f>VLOOKUP($Q76,Iedz_sk!$B$14:$R$123,17,FALSE)*L$63</f>
        <v>222784.46540215815</v>
      </c>
      <c r="AD76" s="163">
        <f>VLOOKUP($Q76,Iedz_sk!$B$14:$Y$123,24,FALSE)*M$63</f>
        <v>263051.30402429949</v>
      </c>
    </row>
    <row r="77" spans="1:30" x14ac:dyDescent="0.35">
      <c r="A77" s="98" t="s">
        <v>137</v>
      </c>
      <c r="B77" s="3"/>
      <c r="C77" s="3"/>
      <c r="D77" s="3"/>
      <c r="E77" s="3"/>
      <c r="F77" s="3"/>
      <c r="G77" s="3"/>
      <c r="H77" s="3"/>
      <c r="I77" s="3"/>
      <c r="J77" s="91">
        <f t="shared" si="40"/>
        <v>2562677.2004194059</v>
      </c>
      <c r="K77" s="91">
        <f t="shared" si="40"/>
        <v>2693367.1317567378</v>
      </c>
      <c r="L77" s="91">
        <f t="shared" si="40"/>
        <v>2795712.783190961</v>
      </c>
      <c r="M77" s="163">
        <f t="shared" ref="M77" si="43">M72*M$52</f>
        <v>3382808.5383410593</v>
      </c>
      <c r="N77" s="3"/>
      <c r="O77" s="3"/>
      <c r="Q77" s="3" t="s">
        <v>102</v>
      </c>
      <c r="R77" s="3" t="s">
        <v>293</v>
      </c>
      <c r="S77" s="85">
        <f>VLOOKUP($Q77,Iedz_sk!$B$14:$R$123,3,FALSE)*B$63</f>
        <v>35384.506166502142</v>
      </c>
      <c r="T77" s="85">
        <f>VLOOKUP($Q77,Iedz_sk!$B$14:$R$123,4,FALSE)*C$63</f>
        <v>36735.684576828098</v>
      </c>
      <c r="U77" s="85">
        <f>VLOOKUP($Q77,Iedz_sk!$B$14:$R$123,5,FALSE)*D$63</f>
        <v>36092.124393339807</v>
      </c>
      <c r="V77" s="85">
        <f>VLOOKUP($Q77,Iedz_sk!$B$14:$R$123,6,FALSE)*E$63</f>
        <v>37605.367064439146</v>
      </c>
      <c r="W77" s="85">
        <f>VLOOKUP($Q77,Iedz_sk!$B$14:$R$123,7,FALSE)*F$63</f>
        <v>40736.204293628813</v>
      </c>
      <c r="X77" s="85">
        <f>VLOOKUP($Q77,Iedz_sk!$B$14:$R$123,8,FALSE)*G$63</f>
        <v>41346.067073390077</v>
      </c>
      <c r="Y77" s="91">
        <f>VLOOKUP($Q77,Iedz_sk!$B$14:$R$123,9,FALSE)*H$63</f>
        <v>43365.220344231289</v>
      </c>
      <c r="Z77" s="91">
        <f>VLOOKUP($Q77,Iedz_sk!$B$14:$R$123,10,FALSE)*I$63</f>
        <v>41235.450733521247</v>
      </c>
      <c r="AA77" s="91">
        <f>VLOOKUP($Q77,Iedz_sk!$B$14:$R$123,11,FALSE)*J$63</f>
        <v>43364.354747316575</v>
      </c>
      <c r="AB77" s="91">
        <f>VLOOKUP($Q77,Iedz_sk!$B$14:$R$123,16,FALSE)*K$63</f>
        <v>45573.035501831844</v>
      </c>
      <c r="AC77" s="162">
        <f>VLOOKUP($Q77,Iedz_sk!$B$14:$R$123,17,FALSE)*L$63</f>
        <v>47312.162668114252</v>
      </c>
      <c r="AD77" s="163">
        <f>VLOOKUP($Q77,Iedz_sk!$B$14:$Y$123,24,FALSE)*M$63</f>
        <v>57253.849320828114</v>
      </c>
    </row>
    <row r="78" spans="1:30" x14ac:dyDescent="0.35">
      <c r="A78" s="98" t="s">
        <v>138</v>
      </c>
      <c r="B78" s="3"/>
      <c r="C78" s="3"/>
      <c r="D78" s="3"/>
      <c r="E78" s="3"/>
      <c r="F78" s="3"/>
      <c r="G78" s="3"/>
      <c r="H78" s="3"/>
      <c r="I78" s="3"/>
      <c r="J78" s="91">
        <f t="shared" si="40"/>
        <v>6493658.5964581342</v>
      </c>
      <c r="K78" s="91">
        <f t="shared" si="40"/>
        <v>6824841.2618676396</v>
      </c>
      <c r="L78" s="91">
        <f t="shared" si="40"/>
        <v>7084172.0933975969</v>
      </c>
      <c r="M78" s="163">
        <f t="shared" ref="M78" si="44">M73*M$52</f>
        <v>8571868.3029067162</v>
      </c>
      <c r="N78" s="3"/>
      <c r="O78" s="3"/>
      <c r="Q78" s="3" t="s">
        <v>106</v>
      </c>
      <c r="R78" s="3" t="s">
        <v>293</v>
      </c>
      <c r="S78" s="85">
        <f>VLOOKUP($Q78,Iedz_sk!$B$14:$R$123,3,FALSE)*B$63</f>
        <v>204485.76658111223</v>
      </c>
      <c r="T78" s="85">
        <f>VLOOKUP($Q78,Iedz_sk!$B$14:$R$123,4,FALSE)*C$63</f>
        <v>212519.72172440792</v>
      </c>
      <c r="U78" s="85">
        <f>VLOOKUP($Q78,Iedz_sk!$B$14:$R$123,5,FALSE)*D$63</f>
        <v>209131.20562980662</v>
      </c>
      <c r="V78" s="85">
        <f>VLOOKUP($Q78,Iedz_sk!$B$14:$R$123,6,FALSE)*E$63</f>
        <v>221598.1443187714</v>
      </c>
      <c r="W78" s="85">
        <f>VLOOKUP($Q78,Iedz_sk!$B$14:$R$123,7,FALSE)*F$63</f>
        <v>241134.23720249874</v>
      </c>
      <c r="X78" s="85">
        <f>VLOOKUP($Q78,Iedz_sk!$B$14:$R$123,8,FALSE)*G$63</f>
        <v>244496.61866802882</v>
      </c>
      <c r="Y78" s="91">
        <f>VLOOKUP($Q78,Iedz_sk!$B$14:$R$123,9,FALSE)*H$63</f>
        <v>257995.61470618614</v>
      </c>
      <c r="Z78" s="91">
        <f>VLOOKUP($Q78,Iedz_sk!$B$14:$R$123,10,FALSE)*I$63</f>
        <v>248642.94324052043</v>
      </c>
      <c r="AA78" s="91">
        <f>VLOOKUP($Q78,Iedz_sk!$B$14:$R$123,11,FALSE)*J$63</f>
        <v>262437.70236052771</v>
      </c>
      <c r="AB78" s="91">
        <f>VLOOKUP($Q78,Iedz_sk!$B$14:$R$123,16,FALSE)*K$63</f>
        <v>275786.07018307643</v>
      </c>
      <c r="AC78" s="162">
        <f>VLOOKUP($Q78,Iedz_sk!$B$14:$R$123,17,FALSE)*L$63</f>
        <v>286225.03541280481</v>
      </c>
      <c r="AD78" s="163">
        <f>VLOOKUP($Q78,Iedz_sk!$B$14:$Y$123,24,FALSE)*M$63</f>
        <v>345963.91792233026</v>
      </c>
    </row>
    <row r="79" spans="1:30" x14ac:dyDescent="0.35">
      <c r="A79" s="232" t="s">
        <v>410</v>
      </c>
      <c r="B79" s="232"/>
      <c r="C79" s="232"/>
      <c r="D79" s="232"/>
      <c r="E79" s="232"/>
      <c r="F79" s="232"/>
      <c r="G79" s="232"/>
      <c r="H79" s="232"/>
      <c r="I79" s="232"/>
      <c r="J79" s="94">
        <f>SUM(J75:J78)</f>
        <v>17476146.558986489</v>
      </c>
      <c r="K79" s="94">
        <f t="shared" ref="K79:L79" si="45">SUM(K75:K78)</f>
        <v>18367429.921484601</v>
      </c>
      <c r="L79" s="94">
        <f t="shared" si="45"/>
        <v>19065361.238963872</v>
      </c>
      <c r="M79" s="94">
        <f t="shared" ref="M79" si="46">SUM(M75:M78)</f>
        <v>23069123.526500441</v>
      </c>
      <c r="N79" s="3"/>
      <c r="O79" s="3"/>
      <c r="Q79" s="3" t="s">
        <v>109</v>
      </c>
      <c r="R79" s="3" t="s">
        <v>293</v>
      </c>
      <c r="S79" s="85">
        <f>VLOOKUP($Q79,Iedz_sk!$B$14:$R$123,3,FALSE)*B$63</f>
        <v>17415.811628825271</v>
      </c>
      <c r="T79" s="85">
        <f>VLOOKUP($Q79,Iedz_sk!$B$14:$R$123,4,FALSE)*C$63</f>
        <v>18003.486023649712</v>
      </c>
      <c r="U79" s="85">
        <f>VLOOKUP($Q79,Iedz_sk!$B$14:$R$123,5,FALSE)*D$63</f>
        <v>17534.721591333328</v>
      </c>
      <c r="V79" s="85">
        <f>VLOOKUP($Q79,Iedz_sk!$B$14:$R$123,6,FALSE)*E$63</f>
        <v>18558.195164470271</v>
      </c>
      <c r="W79" s="85">
        <f>VLOOKUP($Q79,Iedz_sk!$B$14:$R$123,7,FALSE)*F$63</f>
        <v>20334.169448527333</v>
      </c>
      <c r="X79" s="85">
        <f>VLOOKUP($Q79,Iedz_sk!$B$14:$R$123,8,FALSE)*G$63</f>
        <v>20355.120865917968</v>
      </c>
      <c r="Y79" s="91">
        <f>VLOOKUP($Q79,Iedz_sk!$B$14:$R$123,9,FALSE)*H$63</f>
        <v>21259.285236337371</v>
      </c>
      <c r="Z79" s="91">
        <f>VLOOKUP($Q79,Iedz_sk!$B$14:$R$123,10,FALSE)*I$63</f>
        <v>20438.12845590034</v>
      </c>
      <c r="AA79" s="91">
        <f>VLOOKUP($Q79,Iedz_sk!$B$14:$R$123,11,FALSE)*J$63</f>
        <v>21231.862598332642</v>
      </c>
      <c r="AB79" s="91">
        <f>VLOOKUP($Q79,Iedz_sk!$B$14:$R$123,16,FALSE)*K$63</f>
        <v>22361.032717546739</v>
      </c>
      <c r="AC79" s="162">
        <f>VLOOKUP($Q79,Iedz_sk!$B$14:$R$123,17,FALSE)*L$63</f>
        <v>23249.619455465079</v>
      </c>
      <c r="AD79" s="163">
        <f>VLOOKUP($Q79,Iedz_sk!$B$14:$Y$123,24,FALSE)*M$63</f>
        <v>28581.724253055509</v>
      </c>
    </row>
    <row r="80" spans="1:30" x14ac:dyDescent="0.35">
      <c r="Q80" s="3" t="s">
        <v>9</v>
      </c>
      <c r="R80" s="3" t="s">
        <v>293</v>
      </c>
      <c r="S80" s="85">
        <f>VLOOKUP($Q80,$A$20:$L$28,2,FALSE)</f>
        <v>519053</v>
      </c>
      <c r="T80" s="85">
        <f>VLOOKUP($Q80,$A$20:$L$28,3,FALSE)</f>
        <v>481685</v>
      </c>
      <c r="U80" s="85">
        <f>VLOOKUP($Q80,$A$20:$L$28,4,FALSE)</f>
        <v>503259</v>
      </c>
      <c r="V80" s="85">
        <f>VLOOKUP($Q80,$A$20:$L$28,5,FALSE)</f>
        <v>473718</v>
      </c>
      <c r="W80" s="85">
        <f>VLOOKUP($Q80,$A$20:$L$28,6,FALSE)</f>
        <v>483367</v>
      </c>
      <c r="X80" s="85">
        <f>VLOOKUP($Q80,$A$20:$L$28,7,FALSE)</f>
        <v>470141</v>
      </c>
      <c r="Y80" s="91">
        <f>VLOOKUP($Q80,$A$20:$L$28,8,FALSE)</f>
        <v>494228.40899072483</v>
      </c>
      <c r="Z80" s="91">
        <f>VLOOKUP($Q80,$A$20:$L$28,9,FALSE)</f>
        <v>475904.87066054653</v>
      </c>
      <c r="AA80" s="91">
        <f>VLOOKUP($Q80,$A$20:$L$28,10,FALSE)</f>
        <v>501127.82880555547</v>
      </c>
      <c r="AB80" s="91">
        <f>VLOOKUP($Q80,$A$20:$L$28,11,FALSE)</f>
        <v>526685.34807463875</v>
      </c>
      <c r="AC80" s="162">
        <f>VLOOKUP($Q80,$A$20:$L$28,12,FALSE)</f>
        <v>546699.391301475</v>
      </c>
      <c r="AD80" s="163">
        <f>VLOOKUP($Q80,$A$20:$M$28,13,FALSE)</f>
        <v>661506.26347478468</v>
      </c>
    </row>
    <row r="81" spans="17:30" x14ac:dyDescent="0.35">
      <c r="Q81" s="3" t="s">
        <v>115</v>
      </c>
      <c r="R81" s="3" t="s">
        <v>293</v>
      </c>
      <c r="S81" s="85">
        <f>VLOOKUP($Q81,Iedz_sk!$B$14:$R$123,3,FALSE)*B$63</f>
        <v>81503.031734123069</v>
      </c>
      <c r="T81" s="85">
        <f>VLOOKUP($Q81,Iedz_sk!$B$14:$R$123,4,FALSE)*C$63</f>
        <v>84723.547918437267</v>
      </c>
      <c r="U81" s="85">
        <f>VLOOKUP($Q81,Iedz_sk!$B$14:$R$123,5,FALSE)*D$63</f>
        <v>83071.542508637489</v>
      </c>
      <c r="V81" s="85">
        <f>VLOOKUP($Q81,Iedz_sk!$B$14:$R$123,6,FALSE)*E$63</f>
        <v>87480.994085296261</v>
      </c>
      <c r="W81" s="85">
        <f>VLOOKUP($Q81,Iedz_sk!$B$14:$R$123,7,FALSE)*F$63</f>
        <v>95452.680281530891</v>
      </c>
      <c r="X81" s="85">
        <f>VLOOKUP($Q81,Iedz_sk!$B$14:$R$123,8,FALSE)*G$63</f>
        <v>96340.604149729857</v>
      </c>
      <c r="Y81" s="91">
        <f>VLOOKUP($Q81,Iedz_sk!$B$14:$R$123,9,FALSE)*H$63</f>
        <v>101644.50381049706</v>
      </c>
      <c r="Z81" s="91">
        <f>VLOOKUP($Q81,Iedz_sk!$B$14:$R$123,10,FALSE)*I$63</f>
        <v>98203.59085840339</v>
      </c>
      <c r="AA81" s="91">
        <f>VLOOKUP($Q81,Iedz_sk!$B$14:$R$123,11,FALSE)*J$63</f>
        <v>103256.21986562765</v>
      </c>
      <c r="AB81" s="91">
        <f>VLOOKUP($Q81,Iedz_sk!$B$14:$R$123,16,FALSE)*K$63</f>
        <v>108780.63142282021</v>
      </c>
      <c r="AC81" s="162">
        <f>VLOOKUP($Q81,Iedz_sk!$B$14:$R$123,17,FALSE)*L$63</f>
        <v>113191.50395031321</v>
      </c>
      <c r="AD81" s="163">
        <f>VLOOKUP($Q81,Iedz_sk!$B$14:$Y$123,24,FALSE)*M$63</f>
        <v>139699.39234282059</v>
      </c>
    </row>
    <row r="82" spans="17:30" x14ac:dyDescent="0.35">
      <c r="Q82" s="3" t="s">
        <v>11</v>
      </c>
      <c r="R82" s="3" t="s">
        <v>295</v>
      </c>
      <c r="S82" s="85">
        <f>VLOOKUP($Q82,Iedz_sk!$B$14:$R$123,3,FALSE)*B$64</f>
        <v>53897.88614429735</v>
      </c>
      <c r="T82" s="85">
        <f>VLOOKUP($Q82,Iedz_sk!$B$14:$R$123,4,FALSE)*C$64</f>
        <v>58235.416340991273</v>
      </c>
      <c r="U82" s="85">
        <f>VLOOKUP($Q82,Iedz_sk!$B$14:$R$123,5,FALSE)*D$64</f>
        <v>59990.33670678168</v>
      </c>
      <c r="V82" s="85">
        <f>VLOOKUP($Q82,Iedz_sk!$B$14:$R$123,6,FALSE)*E$64</f>
        <v>61113.327370842293</v>
      </c>
      <c r="W82" s="85">
        <f>VLOOKUP($Q82,Iedz_sk!$B$14:$R$123,7,FALSE)*F$64</f>
        <v>62358.789212988442</v>
      </c>
      <c r="X82" s="85">
        <f>VLOOKUP($Q82,Iedz_sk!$B$14:$R$123,8,FALSE)*G$64</f>
        <v>63559.085921083351</v>
      </c>
      <c r="Y82" s="91">
        <f>VLOOKUP($Q82,Iedz_sk!$B$14:$R$123,9,FALSE)*H$64</f>
        <v>66869.142715323731</v>
      </c>
      <c r="Z82" s="91">
        <f>VLOOKUP($Q82,Iedz_sk!$B$14:$R$123,10,FALSE)*I$64</f>
        <v>64268.504158430893</v>
      </c>
      <c r="AA82" s="91">
        <f>VLOOKUP($Q82,Iedz_sk!$B$14:$R$123,11,FALSE)*J$64</f>
        <v>68418.691922067432</v>
      </c>
      <c r="AB82" s="91">
        <f>VLOOKUP($Q82,Iedz_sk!$B$14:$R$123,16,FALSE)*K$64</f>
        <v>71784.120049151752</v>
      </c>
      <c r="AC82" s="162">
        <f>VLOOKUP($Q82,Iedz_sk!$B$14:$R$123,17,FALSE)*L$64</f>
        <v>74379.467362873969</v>
      </c>
      <c r="AD82" s="163">
        <f>VLOOKUP($Q82,Iedz_sk!$B$14:$Y$123,24,FALSE)*M$64</f>
        <v>88735.363034668655</v>
      </c>
    </row>
    <row r="83" spans="17:30" x14ac:dyDescent="0.35">
      <c r="Q83" s="3" t="s">
        <v>13</v>
      </c>
      <c r="R83" s="3" t="s">
        <v>295</v>
      </c>
      <c r="S83" s="85">
        <f>VLOOKUP($Q83,Iedz_sk!$B$14:$R$123,3,FALSE)*B$64</f>
        <v>17879.557558688815</v>
      </c>
      <c r="T83" s="85">
        <f>VLOOKUP($Q83,Iedz_sk!$B$14:$R$123,4,FALSE)*C$64</f>
        <v>19506.695557422354</v>
      </c>
      <c r="U83" s="85">
        <f>VLOOKUP($Q83,Iedz_sk!$B$14:$R$123,5,FALSE)*D$64</f>
        <v>20053.346876524382</v>
      </c>
      <c r="V83" s="85">
        <f>VLOOKUP($Q83,Iedz_sk!$B$14:$R$123,6,FALSE)*E$64</f>
        <v>20203.7152294222</v>
      </c>
      <c r="W83" s="85">
        <f>VLOOKUP($Q83,Iedz_sk!$B$14:$R$123,7,FALSE)*F$64</f>
        <v>21080.835839807503</v>
      </c>
      <c r="X83" s="85">
        <f>VLOOKUP($Q83,Iedz_sk!$B$14:$R$123,8,FALSE)*G$64</f>
        <v>19990.23157444159</v>
      </c>
      <c r="Y83" s="91">
        <f>VLOOKUP($Q83,Iedz_sk!$B$14:$R$123,9,FALSE)*H$64</f>
        <v>20736.4240476091</v>
      </c>
      <c r="Z83" s="91">
        <f>VLOOKUP($Q83,Iedz_sk!$B$14:$R$123,10,FALSE)*I$64</f>
        <v>20637.704651223881</v>
      </c>
      <c r="AA83" s="91">
        <f>VLOOKUP($Q83,Iedz_sk!$B$14:$R$123,11,FALSE)*J$64</f>
        <v>21728.076541547172</v>
      </c>
      <c r="AB83" s="91">
        <f>VLOOKUP($Q83,Iedz_sk!$B$14:$R$123,16,FALSE)*K$64</f>
        <v>22593.807885405568</v>
      </c>
      <c r="AC83" s="162">
        <f>VLOOKUP($Q83,Iedz_sk!$B$14:$R$123,17,FALSE)*L$64</f>
        <v>23192.459094905713</v>
      </c>
      <c r="AD83" s="163">
        <f>VLOOKUP($Q83,Iedz_sk!$B$14:$Y$123,24,FALSE)*M$64</f>
        <v>25526.43047881142</v>
      </c>
    </row>
    <row r="84" spans="17:30" x14ac:dyDescent="0.35">
      <c r="Q84" s="3" t="s">
        <v>19</v>
      </c>
      <c r="R84" s="3" t="s">
        <v>295</v>
      </c>
      <c r="S84" s="85">
        <f>VLOOKUP($Q84,Iedz_sk!$B$14:$R$123,3,FALSE)*B$64</f>
        <v>43776.217384804891</v>
      </c>
      <c r="T84" s="85">
        <f>VLOOKUP($Q84,Iedz_sk!$B$14:$R$123,4,FALSE)*C$64</f>
        <v>46624.93354395705</v>
      </c>
      <c r="U84" s="85">
        <f>VLOOKUP($Q84,Iedz_sk!$B$14:$R$123,5,FALSE)*D$64</f>
        <v>47814.080246494312</v>
      </c>
      <c r="V84" s="85">
        <f>VLOOKUP($Q84,Iedz_sk!$B$14:$R$123,6,FALSE)*E$64</f>
        <v>48071.159614673496</v>
      </c>
      <c r="W84" s="85">
        <f>VLOOKUP($Q84,Iedz_sk!$B$14:$R$123,7,FALSE)*F$64</f>
        <v>48438.337599672341</v>
      </c>
      <c r="X84" s="85">
        <f>VLOOKUP($Q84,Iedz_sk!$B$14:$R$123,8,FALSE)*G$64</f>
        <v>49166.431901315278</v>
      </c>
      <c r="Y84" s="91">
        <f>VLOOKUP($Q84,Iedz_sk!$B$14:$R$123,9,FALSE)*H$64</f>
        <v>51200.327915304486</v>
      </c>
      <c r="Z84" s="91">
        <f>VLOOKUP($Q84,Iedz_sk!$B$14:$R$123,10,FALSE)*I$64</f>
        <v>49375.067455548437</v>
      </c>
      <c r="AA84" s="91">
        <f>VLOOKUP($Q84,Iedz_sk!$B$14:$R$123,11,FALSE)*J$64</f>
        <v>51418.562907628322</v>
      </c>
      <c r="AB84" s="91">
        <f>VLOOKUP($Q84,Iedz_sk!$B$14:$R$123,16,FALSE)*K$64</f>
        <v>53594.189971918451</v>
      </c>
      <c r="AC84" s="162">
        <f>VLOOKUP($Q84,Iedz_sk!$B$14:$R$123,17,FALSE)*L$64</f>
        <v>55161.48362323633</v>
      </c>
      <c r="AD84" s="163">
        <f>VLOOKUP($Q84,Iedz_sk!$B$14:$Y$123,24,FALSE)*M$64</f>
        <v>62113.434246787256</v>
      </c>
    </row>
    <row r="85" spans="17:30" x14ac:dyDescent="0.35">
      <c r="Q85" s="3" t="s">
        <v>25</v>
      </c>
      <c r="R85" s="3" t="s">
        <v>295</v>
      </c>
      <c r="S85" s="85">
        <f>VLOOKUP($Q85,Iedz_sk!$B$14:$R$123,3,FALSE)*B$64</f>
        <v>153960.45663067009</v>
      </c>
      <c r="T85" s="85">
        <f>VLOOKUP($Q85,Iedz_sk!$B$14:$R$123,4,FALSE)*C$64</f>
        <v>166837.14772270719</v>
      </c>
      <c r="U85" s="85">
        <f>VLOOKUP($Q85,Iedz_sk!$B$14:$R$123,5,FALSE)*D$64</f>
        <v>171881.78980061872</v>
      </c>
      <c r="V85" s="85">
        <f>VLOOKUP($Q85,Iedz_sk!$B$14:$R$123,6,FALSE)*E$64</f>
        <v>174162.42991357105</v>
      </c>
      <c r="W85" s="85">
        <f>VLOOKUP($Q85,Iedz_sk!$B$14:$R$123,7,FALSE)*F$64</f>
        <v>176645.47036387605</v>
      </c>
      <c r="X85" s="85">
        <f>VLOOKUP($Q85,Iedz_sk!$B$14:$R$123,8,FALSE)*G$64</f>
        <v>180287.34076581834</v>
      </c>
      <c r="Y85" s="91">
        <f>VLOOKUP($Q85,Iedz_sk!$B$14:$R$123,9,FALSE)*H$64</f>
        <v>189590.16272099747</v>
      </c>
      <c r="Z85" s="91">
        <f>VLOOKUP($Q85,Iedz_sk!$B$14:$R$123,10,FALSE)*I$64</f>
        <v>180627.9848860612</v>
      </c>
      <c r="AA85" s="91">
        <f>VLOOKUP($Q85,Iedz_sk!$B$14:$R$123,11,FALSE)*J$64</f>
        <v>189962.78701425708</v>
      </c>
      <c r="AB85" s="91">
        <f>VLOOKUP($Q85,Iedz_sk!$B$14:$R$123,16,FALSE)*K$64</f>
        <v>199669.81391545461</v>
      </c>
      <c r="AC85" s="162">
        <f>VLOOKUP($Q85,Iedz_sk!$B$14:$R$123,17,FALSE)*L$64</f>
        <v>207278.99437559093</v>
      </c>
      <c r="AD85" s="163">
        <f>VLOOKUP($Q85,Iedz_sk!$B$14:$Y$123,24,FALSE)*M$64</f>
        <v>251001.10052510691</v>
      </c>
    </row>
    <row r="86" spans="17:30" x14ac:dyDescent="0.35">
      <c r="Q86" s="3" t="s">
        <v>35</v>
      </c>
      <c r="R86" s="3" t="s">
        <v>295</v>
      </c>
      <c r="S86" s="85">
        <f>VLOOKUP($Q86,Iedz_sk!$B$14:$R$123,3,FALSE)*B$64</f>
        <v>133883.75634126217</v>
      </c>
      <c r="T86" s="85">
        <f>VLOOKUP($Q86,Iedz_sk!$B$14:$R$123,4,FALSE)*C$64</f>
        <v>143812.74021451964</v>
      </c>
      <c r="U86" s="85">
        <f>VLOOKUP($Q86,Iedz_sk!$B$14:$R$123,5,FALSE)*D$64</f>
        <v>147628.27083500565</v>
      </c>
      <c r="V86" s="85">
        <f>VLOOKUP($Q86,Iedz_sk!$B$14:$R$123,6,FALSE)*E$64</f>
        <v>149002.39981698871</v>
      </c>
      <c r="W86" s="85">
        <f>VLOOKUP($Q86,Iedz_sk!$B$14:$R$123,7,FALSE)*F$64</f>
        <v>151667.21019825677</v>
      </c>
      <c r="X86" s="85">
        <f>VLOOKUP($Q86,Iedz_sk!$B$14:$R$123,8,FALSE)*G$64</f>
        <v>154543.17472176824</v>
      </c>
      <c r="Y86" s="91">
        <f>VLOOKUP($Q86,Iedz_sk!$B$14:$R$123,9,FALSE)*H$64</f>
        <v>162404.81064895136</v>
      </c>
      <c r="Z86" s="91">
        <f>VLOOKUP($Q86,Iedz_sk!$B$14:$R$123,10,FALSE)*I$64</f>
        <v>155728.14557860629</v>
      </c>
      <c r="AA86" s="91">
        <f>VLOOKUP($Q86,Iedz_sk!$B$14:$R$123,11,FALSE)*J$64</f>
        <v>164018.81502434998</v>
      </c>
      <c r="AB86" s="91">
        <f>VLOOKUP($Q86,Iedz_sk!$B$14:$R$123,16,FALSE)*K$64</f>
        <v>171796.82331590465</v>
      </c>
      <c r="AC86" s="162">
        <f>VLOOKUP($Q86,Iedz_sk!$B$14:$R$123,17,FALSE)*L$64</f>
        <v>177686.95631881291</v>
      </c>
      <c r="AD86" s="163">
        <f>VLOOKUP($Q86,Iedz_sk!$B$14:$Y$123,24,FALSE)*M$64</f>
        <v>208831.01501331659</v>
      </c>
    </row>
    <row r="87" spans="17:30" x14ac:dyDescent="0.35">
      <c r="Q87" s="3" t="s">
        <v>43</v>
      </c>
      <c r="R87" s="3" t="s">
        <v>295</v>
      </c>
      <c r="S87" s="85">
        <f>VLOOKUP($Q87,Iedz_sk!$B$14:$R$123,3,FALSE)*B$64</f>
        <v>54891.537772515818</v>
      </c>
      <c r="T87" s="85">
        <f>VLOOKUP($Q87,Iedz_sk!$B$14:$R$123,4,FALSE)*C$64</f>
        <v>59346.986205972949</v>
      </c>
      <c r="U87" s="85">
        <f>VLOOKUP($Q87,Iedz_sk!$B$14:$R$123,5,FALSE)*D$64</f>
        <v>61538.885002253766</v>
      </c>
      <c r="V87" s="85">
        <f>VLOOKUP($Q87,Iedz_sk!$B$14:$R$123,6,FALSE)*E$64</f>
        <v>62386.976565780649</v>
      </c>
      <c r="W87" s="85">
        <f>VLOOKUP($Q87,Iedz_sk!$B$14:$R$123,7,FALSE)*F$64</f>
        <v>63861.865648718172</v>
      </c>
      <c r="X87" s="85">
        <f>VLOOKUP($Q87,Iedz_sk!$B$14:$R$123,8,FALSE)*G$64</f>
        <v>65857.532570628071</v>
      </c>
      <c r="Y87" s="91">
        <f>VLOOKUP($Q87,Iedz_sk!$B$14:$R$123,9,FALSE)*H$64</f>
        <v>69556.889491960057</v>
      </c>
      <c r="Z87" s="91">
        <f>VLOOKUP($Q87,Iedz_sk!$B$14:$R$123,10,FALSE)*I$64</f>
        <v>67577.266588926024</v>
      </c>
      <c r="AA87" s="91">
        <f>VLOOKUP($Q87,Iedz_sk!$B$14:$R$123,11,FALSE)*J$64</f>
        <v>71781.167239180388</v>
      </c>
      <c r="AB87" s="91">
        <f>VLOOKUP($Q87,Iedz_sk!$B$14:$R$123,16,FALSE)*K$64</f>
        <v>75631.814531654236</v>
      </c>
      <c r="AC87" s="162">
        <f>VLOOKUP($Q87,Iedz_sk!$B$14:$R$123,17,FALSE)*L$64</f>
        <v>78710.009517524421</v>
      </c>
      <c r="AD87" s="163">
        <f>VLOOKUP($Q87,Iedz_sk!$B$14:$Y$123,24,FALSE)*M$64</f>
        <v>97208.976461450933</v>
      </c>
    </row>
    <row r="88" spans="17:30" x14ac:dyDescent="0.35">
      <c r="Q88" s="3" t="s">
        <v>47</v>
      </c>
      <c r="R88" s="3" t="s">
        <v>295</v>
      </c>
      <c r="S88" s="85">
        <f>VLOOKUP($Q88,Iedz_sk!$B$14:$R$123,3,FALSE)*B$64</f>
        <v>35370.294915031278</v>
      </c>
      <c r="T88" s="85">
        <f>VLOOKUP($Q88,Iedz_sk!$B$14:$R$123,4,FALSE)*C$64</f>
        <v>38335.604611807103</v>
      </c>
      <c r="U88" s="85">
        <f>VLOOKUP($Q88,Iedz_sk!$B$14:$R$123,5,FALSE)*D$64</f>
        <v>39442.020055448869</v>
      </c>
      <c r="V88" s="85">
        <f>VLOOKUP($Q88,Iedz_sk!$B$14:$R$123,6,FALSE)*E$64</f>
        <v>39999.862716464122</v>
      </c>
      <c r="W88" s="85">
        <f>VLOOKUP($Q88,Iedz_sk!$B$14:$R$123,7,FALSE)*F$64</f>
        <v>40288.490995891516</v>
      </c>
      <c r="X88" s="85">
        <f>VLOOKUP($Q88,Iedz_sk!$B$14:$R$123,8,FALSE)*G$64</f>
        <v>41059.325861934783</v>
      </c>
      <c r="Y88" s="91">
        <f>VLOOKUP($Q88,Iedz_sk!$B$14:$R$123,9,FALSE)*H$64</f>
        <v>42770.95489755649</v>
      </c>
      <c r="Z88" s="91">
        <f>VLOOKUP($Q88,Iedz_sk!$B$14:$R$123,10,FALSE)*I$64</f>
        <v>41467.686053856683</v>
      </c>
      <c r="AA88" s="91">
        <f>VLOOKUP($Q88,Iedz_sk!$B$14:$R$123,11,FALSE)*J$64</f>
        <v>43003.840413533464</v>
      </c>
      <c r="AB88" s="91">
        <f>VLOOKUP($Q88,Iedz_sk!$B$14:$R$123,16,FALSE)*K$64</f>
        <v>45278.793365183235</v>
      </c>
      <c r="AC88" s="162">
        <f>VLOOKUP($Q88,Iedz_sk!$B$14:$R$123,17,FALSE)*L$64</f>
        <v>47087.428361565835</v>
      </c>
      <c r="AD88" s="163">
        <f>VLOOKUP($Q88,Iedz_sk!$B$14:$Y$123,24,FALSE)*M$64</f>
        <v>57837.031208971894</v>
      </c>
    </row>
    <row r="89" spans="17:30" x14ac:dyDescent="0.35">
      <c r="Q89" s="3" t="s">
        <v>5</v>
      </c>
      <c r="R89" s="3" t="s">
        <v>295</v>
      </c>
      <c r="S89" s="85">
        <f>VLOOKUP($Q89,$A$20:$L$28,2,FALSE)</f>
        <v>506504</v>
      </c>
      <c r="T89" s="85">
        <f>VLOOKUP($Q89,$A$20:$L$28,3,FALSE)</f>
        <v>519381</v>
      </c>
      <c r="U89" s="85">
        <f>VLOOKUP($Q89,$A$20:$L$28,4,FALSE)</f>
        <v>523856</v>
      </c>
      <c r="V89" s="85">
        <f>VLOOKUP($Q89,$A$20:$L$28,5,FALSE)</f>
        <v>550073</v>
      </c>
      <c r="W89" s="85">
        <f>VLOOKUP($Q89,$A$20:$L$28,6,FALSE)</f>
        <v>592572</v>
      </c>
      <c r="X89" s="85">
        <f>VLOOKUP($Q89,$A$20:$L$28,7,FALSE)</f>
        <v>583498</v>
      </c>
      <c r="Y89" s="91">
        <f>VLOOKUP($Q89,$A$20:$L$28,8,FALSE)</f>
        <v>613393.19095605356</v>
      </c>
      <c r="Z89" s="91">
        <f>VLOOKUP($Q89,$A$20:$L$28,9,FALSE)</f>
        <v>590651.61349613755</v>
      </c>
      <c r="AA89" s="91">
        <f>VLOOKUP($Q89,$A$20:$L$28,10,FALSE)</f>
        <v>621956.14901143278</v>
      </c>
      <c r="AB89" s="91">
        <f>VLOOKUP($Q89,$A$20:$L$28,11,FALSE)</f>
        <v>653675.91261101584</v>
      </c>
      <c r="AC89" s="162">
        <f>VLOOKUP($Q89,$A$20:$L$28,12,FALSE)</f>
        <v>678515.59729023441</v>
      </c>
      <c r="AD89" s="163">
        <f>VLOOKUP($Q89,$A$20:$M$28,13,FALSE)</f>
        <v>821003.87272118358</v>
      </c>
    </row>
    <row r="90" spans="17:30" x14ac:dyDescent="0.35">
      <c r="Q90" s="3" t="s">
        <v>50</v>
      </c>
      <c r="R90" s="3" t="s">
        <v>295</v>
      </c>
      <c r="S90" s="85">
        <f>VLOOKUP($Q90,Iedz_sk!$B$14:$R$123,3,FALSE)*B$64</f>
        <v>149942.64787309105</v>
      </c>
      <c r="T90" s="85">
        <f>VLOOKUP($Q90,Iedz_sk!$B$14:$R$123,4,FALSE)*C$64</f>
        <v>161164.07469228239</v>
      </c>
      <c r="U90" s="85">
        <f>VLOOKUP($Q90,Iedz_sk!$B$14:$R$123,5,FALSE)*D$64</f>
        <v>165178.48485035598</v>
      </c>
      <c r="V90" s="85">
        <f>VLOOKUP($Q90,Iedz_sk!$B$14:$R$123,6,FALSE)*E$64</f>
        <v>166374.97483594794</v>
      </c>
      <c r="W90" s="85">
        <f>VLOOKUP($Q90,Iedz_sk!$B$14:$R$123,7,FALSE)*F$64</f>
        <v>169515.2987290576</v>
      </c>
      <c r="X90" s="85">
        <f>VLOOKUP($Q90,Iedz_sk!$B$14:$R$123,8,FALSE)*G$64</f>
        <v>173900.16079072302</v>
      </c>
      <c r="Y90" s="91">
        <f>VLOOKUP($Q90,Iedz_sk!$B$14:$R$123,9,FALSE)*H$64</f>
        <v>183157.87709146223</v>
      </c>
      <c r="Z90" s="91">
        <f>VLOOKUP($Q90,Iedz_sk!$B$14:$R$123,10,FALSE)*I$64</f>
        <v>177751.84514623613</v>
      </c>
      <c r="AA90" s="91">
        <f>VLOOKUP($Q90,Iedz_sk!$B$14:$R$123,11,FALSE)*J$64</f>
        <v>187931.64710188934</v>
      </c>
      <c r="AB90" s="91">
        <f>VLOOKUP($Q90,Iedz_sk!$B$14:$R$123,16,FALSE)*K$64</f>
        <v>197189.78334853359</v>
      </c>
      <c r="AC90" s="162">
        <f>VLOOKUP($Q90,Iedz_sk!$B$14:$R$123,17,FALSE)*L$64</f>
        <v>204324.60228341832</v>
      </c>
      <c r="AD90" s="163">
        <f>VLOOKUP($Q90,Iedz_sk!$B$14:$Y$123,24,FALSE)*M$64</f>
        <v>243794.56947989957</v>
      </c>
    </row>
    <row r="91" spans="17:30" x14ac:dyDescent="0.35">
      <c r="Q91" s="3" t="s">
        <v>3</v>
      </c>
      <c r="R91" s="3" t="s">
        <v>295</v>
      </c>
      <c r="S91" s="85">
        <f>VLOOKUP($Q91,$A$20:$L$28,2,FALSE)</f>
        <v>197716</v>
      </c>
      <c r="T91" s="85">
        <f>VLOOKUP($Q91,$A$20:$L$28,3,FALSE)</f>
        <v>194513</v>
      </c>
      <c r="U91" s="85">
        <f>VLOOKUP($Q91,$A$20:$L$28,4,FALSE)</f>
        <v>206704</v>
      </c>
      <c r="V91" s="85">
        <f>VLOOKUP($Q91,$A$20:$L$28,5,FALSE)</f>
        <v>206575</v>
      </c>
      <c r="W91" s="85">
        <f>VLOOKUP($Q91,$A$20:$L$28,6,FALSE)</f>
        <v>217715</v>
      </c>
      <c r="X91" s="85">
        <f>VLOOKUP($Q91,$A$20:$L$28,7,FALSE)</f>
        <v>234515</v>
      </c>
      <c r="Y91" s="91">
        <f>VLOOKUP($Q91,$A$20:$L$28,8,FALSE)</f>
        <v>246530.24376614639</v>
      </c>
      <c r="Z91" s="91">
        <f>VLOOKUP($Q91,$A$20:$L$28,9,FALSE)</f>
        <v>237390.12496880311</v>
      </c>
      <c r="AA91" s="91">
        <f>VLOOKUP($Q91,$A$20:$L$28,10,FALSE)</f>
        <v>249971.80159214966</v>
      </c>
      <c r="AB91" s="91">
        <f>VLOOKUP($Q91,$A$20:$L$28,11,FALSE)</f>
        <v>262720.36347334925</v>
      </c>
      <c r="AC91" s="162">
        <f>VLOOKUP($Q91,$A$20:$L$28,12,FALSE)</f>
        <v>272703.73728533654</v>
      </c>
      <c r="AD91" s="163">
        <f>VLOOKUP($Q91,$A$20:$M$28,13,FALSE)</f>
        <v>329971.52211525722</v>
      </c>
    </row>
    <row r="92" spans="17:30" x14ac:dyDescent="0.35">
      <c r="Q92" s="3" t="s">
        <v>51</v>
      </c>
      <c r="R92" s="3" t="s">
        <v>295</v>
      </c>
      <c r="S92" s="85">
        <f>VLOOKUP($Q92,Iedz_sk!$B$14:$R$123,3,FALSE)*B$64</f>
        <v>30587.189251246728</v>
      </c>
      <c r="T92" s="85">
        <f>VLOOKUP($Q92,Iedz_sk!$B$14:$R$123,4,FALSE)*C$64</f>
        <v>32940.424047627741</v>
      </c>
      <c r="U92" s="85">
        <f>VLOOKUP($Q92,Iedz_sk!$B$14:$R$123,5,FALSE)*D$64</f>
        <v>33742.796648368952</v>
      </c>
      <c r="V92" s="85">
        <f>VLOOKUP($Q92,Iedz_sk!$B$14:$R$123,6,FALSE)*E$64</f>
        <v>34126.520428948374</v>
      </c>
      <c r="W92" s="85">
        <f>VLOOKUP($Q92,Iedz_sk!$B$14:$R$123,7,FALSE)*F$64</f>
        <v>34351.716732154971</v>
      </c>
      <c r="X92" s="85">
        <f>VLOOKUP($Q92,Iedz_sk!$B$14:$R$123,8,FALSE)*G$64</f>
        <v>34547.06035489143</v>
      </c>
      <c r="Y92" s="91">
        <f>VLOOKUP($Q92,Iedz_sk!$B$14:$R$123,9,FALSE)*H$64</f>
        <v>35722.900656655642</v>
      </c>
      <c r="Z92" s="91">
        <f>VLOOKUP($Q92,Iedz_sk!$B$14:$R$123,10,FALSE)*I$64</f>
        <v>33920.823561056641</v>
      </c>
      <c r="AA92" s="91">
        <f>VLOOKUP($Q92,Iedz_sk!$B$14:$R$123,11,FALSE)*J$64</f>
        <v>35536.414265122708</v>
      </c>
      <c r="AB92" s="91">
        <f>VLOOKUP($Q92,Iedz_sk!$B$14:$R$123,16,FALSE)*K$64</f>
        <v>37191.340744378256</v>
      </c>
      <c r="AC92" s="162">
        <f>VLOOKUP($Q92,Iedz_sk!$B$14:$R$123,17,FALSE)*L$64</f>
        <v>38435.967479275278</v>
      </c>
      <c r="AD92" s="163">
        <f>VLOOKUP($Q92,Iedz_sk!$B$14:$Y$123,24,FALSE)*M$64</f>
        <v>44836.238023020887</v>
      </c>
    </row>
    <row r="93" spans="17:30" x14ac:dyDescent="0.35">
      <c r="Q93" s="3" t="s">
        <v>55</v>
      </c>
      <c r="R93" s="3" t="s">
        <v>295</v>
      </c>
      <c r="S93" s="85">
        <f>VLOOKUP($Q93,Iedz_sk!$B$14:$R$123,3,FALSE)*B$64</f>
        <v>33228.697927504516</v>
      </c>
      <c r="T93" s="85">
        <f>VLOOKUP($Q93,Iedz_sk!$B$14:$R$123,4,FALSE)*C$64</f>
        <v>36153.132072026005</v>
      </c>
      <c r="U93" s="85">
        <f>VLOOKUP($Q93,Iedz_sk!$B$14:$R$123,5,FALSE)*D$64</f>
        <v>37440.92796586622</v>
      </c>
      <c r="V93" s="85">
        <f>VLOOKUP($Q93,Iedz_sk!$B$14:$R$123,6,FALSE)*E$64</f>
        <v>37969.301999962394</v>
      </c>
      <c r="W93" s="85">
        <f>VLOOKUP($Q93,Iedz_sk!$B$14:$R$123,7,FALSE)*F$64</f>
        <v>38513.501235105141</v>
      </c>
      <c r="X93" s="85">
        <f>VLOOKUP($Q93,Iedz_sk!$B$14:$R$123,8,FALSE)*G$64</f>
        <v>39245.585648688611</v>
      </c>
      <c r="Y93" s="91">
        <f>VLOOKUP($Q93,Iedz_sk!$B$14:$R$123,9,FALSE)*H$64</f>
        <v>41714.162821293903</v>
      </c>
      <c r="Z93" s="91">
        <f>VLOOKUP($Q93,Iedz_sk!$B$14:$R$123,10,FALSE)*I$64</f>
        <v>39617.022321545846</v>
      </c>
      <c r="AA93" s="91">
        <f>VLOOKUP($Q93,Iedz_sk!$B$14:$R$123,11,FALSE)*J$64</f>
        <v>41399.410566789207</v>
      </c>
      <c r="AB93" s="91">
        <f>VLOOKUP($Q93,Iedz_sk!$B$14:$R$123,16,FALSE)*K$64</f>
        <v>43664.949944797125</v>
      </c>
      <c r="AC93" s="162">
        <f>VLOOKUP($Q93,Iedz_sk!$B$14:$R$123,17,FALSE)*L$64</f>
        <v>45489.939477850334</v>
      </c>
      <c r="AD93" s="163">
        <f>VLOOKUP($Q93,Iedz_sk!$B$14:$Y$123,24,FALSE)*M$64</f>
        <v>56649.141476245408</v>
      </c>
    </row>
    <row r="94" spans="17:30" x14ac:dyDescent="0.35">
      <c r="Q94" s="3" t="s">
        <v>58</v>
      </c>
      <c r="R94" s="3" t="s">
        <v>295</v>
      </c>
      <c r="S94" s="85">
        <f>VLOOKUP($Q94,Iedz_sk!$B$14:$R$123,3,FALSE)*B$64</f>
        <v>37357.598171468213</v>
      </c>
      <c r="T94" s="85">
        <f>VLOOKUP($Q94,Iedz_sk!$B$14:$R$123,4,FALSE)*C$64</f>
        <v>40511.29928655782</v>
      </c>
      <c r="U94" s="85">
        <f>VLOOKUP($Q94,Iedz_sk!$B$14:$R$123,5,FALSE)*D$64</f>
        <v>41775.448993831465</v>
      </c>
      <c r="V94" s="85">
        <f>VLOOKUP($Q94,Iedz_sk!$B$14:$R$123,6,FALSE)*E$64</f>
        <v>42416.157189147183</v>
      </c>
      <c r="W94" s="85">
        <f>VLOOKUP($Q94,Iedz_sk!$B$14:$R$123,7,FALSE)*F$64</f>
        <v>43407.941086124585</v>
      </c>
      <c r="X94" s="85">
        <f>VLOOKUP($Q94,Iedz_sk!$B$14:$R$123,8,FALSE)*G$64</f>
        <v>43803.389719044288</v>
      </c>
      <c r="Y94" s="91">
        <f>VLOOKUP($Q94,Iedz_sk!$B$14:$R$123,9,FALSE)*H$64</f>
        <v>45733.301190072074</v>
      </c>
      <c r="Z94" s="91">
        <f>VLOOKUP($Q94,Iedz_sk!$B$14:$R$123,10,FALSE)*I$64</f>
        <v>44439.964169386207</v>
      </c>
      <c r="AA94" s="91">
        <f>VLOOKUP($Q94,Iedz_sk!$B$14:$R$123,11,FALSE)*J$64</f>
        <v>46605.273367395566</v>
      </c>
      <c r="AB94" s="91">
        <f>VLOOKUP($Q94,Iedz_sk!$B$14:$R$123,16,FALSE)*K$64</f>
        <v>49135.605607122925</v>
      </c>
      <c r="AC94" s="162">
        <f>VLOOKUP($Q94,Iedz_sk!$B$14:$R$123,17,FALSE)*L$64</f>
        <v>51167.761413947585</v>
      </c>
      <c r="AD94" s="163">
        <f>VLOOKUP($Q94,Iedz_sk!$B$14:$Y$123,24,FALSE)*M$64</f>
        <v>63499.30560163482</v>
      </c>
    </row>
    <row r="95" spans="17:30" x14ac:dyDescent="0.35">
      <c r="Q95" s="3" t="s">
        <v>74</v>
      </c>
      <c r="R95" s="3" t="s">
        <v>295</v>
      </c>
      <c r="S95" s="85">
        <f>VLOOKUP($Q95,Iedz_sk!$B$14:$R$123,3,FALSE)*B$64</f>
        <v>23736.547590858539</v>
      </c>
      <c r="T95" s="85">
        <f>VLOOKUP($Q95,Iedz_sk!$B$14:$R$123,4,FALSE)*C$64</f>
        <v>25484.772514214055</v>
      </c>
      <c r="U95" s="85">
        <f>VLOOKUP($Q95,Iedz_sk!$B$14:$R$123,5,FALSE)*D$64</f>
        <v>26205.114077714865</v>
      </c>
      <c r="V95" s="85">
        <f>VLOOKUP($Q95,Iedz_sk!$B$14:$R$123,6,FALSE)*E$64</f>
        <v>26477.347263918575</v>
      </c>
      <c r="W95" s="85">
        <f>VLOOKUP($Q95,Iedz_sk!$B$14:$R$123,7,FALSE)*F$64</f>
        <v>26488.889749267255</v>
      </c>
      <c r="X95" s="85">
        <f>VLOOKUP($Q95,Iedz_sk!$B$14:$R$123,8,FALSE)*G$64</f>
        <v>26909.02506031598</v>
      </c>
      <c r="Y95" s="91">
        <f>VLOOKUP($Q95,Iedz_sk!$B$14:$R$123,9,FALSE)*H$64</f>
        <v>28092.362594192746</v>
      </c>
      <c r="Z95" s="91">
        <f>VLOOKUP($Q95,Iedz_sk!$B$14:$R$123,10,FALSE)*I$64</f>
        <v>26726.468445839622</v>
      </c>
      <c r="AA95" s="91">
        <f>VLOOKUP($Q95,Iedz_sk!$B$14:$R$123,11,FALSE)*J$64</f>
        <v>27975.111902274795</v>
      </c>
      <c r="AB95" s="91">
        <f>VLOOKUP($Q95,Iedz_sk!$B$14:$R$123,16,FALSE)*K$64</f>
        <v>29368.303147252354</v>
      </c>
      <c r="AC95" s="162">
        <f>VLOOKUP($Q95,Iedz_sk!$B$14:$R$123,17,FALSE)*L$64</f>
        <v>30448.523060697793</v>
      </c>
      <c r="AD95" s="163">
        <f>VLOOKUP($Q95,Iedz_sk!$B$14:$Y$123,24,FALSE)*M$64</f>
        <v>36507.8111191274</v>
      </c>
    </row>
    <row r="96" spans="17:30" x14ac:dyDescent="0.35">
      <c r="Q96" s="3" t="s">
        <v>78</v>
      </c>
      <c r="R96" s="3" t="s">
        <v>295</v>
      </c>
      <c r="S96" s="85">
        <f>VLOOKUP($Q96,Iedz_sk!$B$14:$R$123,3,FALSE)*B$64</f>
        <v>60730.01255695476</v>
      </c>
      <c r="T96" s="85">
        <f>VLOOKUP($Q96,Iedz_sk!$B$14:$R$123,4,FALSE)*C$64</f>
        <v>65480.9540584633</v>
      </c>
      <c r="U96" s="85">
        <f>VLOOKUP($Q96,Iedz_sk!$B$14:$R$123,5,FALSE)*D$64</f>
        <v>68121.983007205883</v>
      </c>
      <c r="V96" s="85">
        <f>VLOOKUP($Q96,Iedz_sk!$B$14:$R$123,6,FALSE)*E$64</f>
        <v>70421.883486991792</v>
      </c>
      <c r="W96" s="85">
        <f>VLOOKUP($Q96,Iedz_sk!$B$14:$R$123,7,FALSE)*F$64</f>
        <v>72578.198346366989</v>
      </c>
      <c r="X96" s="85">
        <f>VLOOKUP($Q96,Iedz_sk!$B$14:$R$123,8,FALSE)*G$64</f>
        <v>77115.230445949099</v>
      </c>
      <c r="Y96" s="91">
        <f>VLOOKUP($Q96,Iedz_sk!$B$14:$R$123,9,FALSE)*H$64</f>
        <v>82954.017387887288</v>
      </c>
      <c r="Z96" s="91">
        <f>VLOOKUP($Q96,Iedz_sk!$B$14:$R$123,10,FALSE)*I$64</f>
        <v>80363.670557619072</v>
      </c>
      <c r="AA96" s="91">
        <f>VLOOKUP($Q96,Iedz_sk!$B$14:$R$123,11,FALSE)*J$64</f>
        <v>84898.2346564459</v>
      </c>
      <c r="AB96" s="91">
        <f>VLOOKUP($Q96,Iedz_sk!$B$14:$R$123,16,FALSE)*K$64</f>
        <v>90904.061588980432</v>
      </c>
      <c r="AC96" s="162">
        <f>VLOOKUP($Q96,Iedz_sk!$B$14:$R$123,17,FALSE)*L$64</f>
        <v>96166.906114270867</v>
      </c>
      <c r="AD96" s="163">
        <f>VLOOKUP($Q96,Iedz_sk!$B$14:$Y$123,24,FALSE)*M$64</f>
        <v>133967.56430193171</v>
      </c>
    </row>
    <row r="97" spans="17:30" x14ac:dyDescent="0.35">
      <c r="Q97" s="3" t="s">
        <v>81</v>
      </c>
      <c r="R97" s="3" t="s">
        <v>295</v>
      </c>
      <c r="S97" s="85">
        <f>VLOOKUP($Q97,Iedz_sk!$B$14:$R$123,3,FALSE)*B$64</f>
        <v>34314.925794376875</v>
      </c>
      <c r="T97" s="85">
        <f>VLOOKUP($Q97,Iedz_sk!$B$14:$R$123,4,FALSE)*C$64</f>
        <v>37020.698795914141</v>
      </c>
      <c r="U97" s="85">
        <f>VLOOKUP($Q97,Iedz_sk!$B$14:$R$123,5,FALSE)*D$64</f>
        <v>37780.335811449142</v>
      </c>
      <c r="V97" s="85">
        <f>VLOOKUP($Q97,Iedz_sk!$B$14:$R$123,6,FALSE)*E$64</f>
        <v>38471.483682538092</v>
      </c>
      <c r="W97" s="85">
        <f>VLOOKUP($Q97,Iedz_sk!$B$14:$R$123,7,FALSE)*F$64</f>
        <v>39012.008997708974</v>
      </c>
      <c r="X97" s="85">
        <f>VLOOKUP($Q97,Iedz_sk!$B$14:$R$123,8,FALSE)*G$64</f>
        <v>39331.581951902874</v>
      </c>
      <c r="Y97" s="91">
        <f>VLOOKUP($Q97,Iedz_sk!$B$14:$R$123,9,FALSE)*H$64</f>
        <v>40807.152299147281</v>
      </c>
      <c r="Z97" s="91">
        <f>VLOOKUP($Q97,Iedz_sk!$B$14:$R$123,10,FALSE)*I$64</f>
        <v>38599.557845340314</v>
      </c>
      <c r="AA97" s="91">
        <f>VLOOKUP($Q97,Iedz_sk!$B$14:$R$123,11,FALSE)*J$64</f>
        <v>40665.469253916839</v>
      </c>
      <c r="AB97" s="91">
        <f>VLOOKUP($Q97,Iedz_sk!$B$14:$R$123,16,FALSE)*K$64</f>
        <v>42643.760887829638</v>
      </c>
      <c r="AC97" s="162">
        <f>VLOOKUP($Q97,Iedz_sk!$B$14:$R$123,17,FALSE)*L$64</f>
        <v>44161.906550424203</v>
      </c>
      <c r="AD97" s="163">
        <f>VLOOKUP($Q97,Iedz_sk!$B$14:$Y$123,24,FALSE)*M$64</f>
        <v>52425.533537662341</v>
      </c>
    </row>
    <row r="98" spans="17:30" x14ac:dyDescent="0.35">
      <c r="Q98" s="3" t="s">
        <v>92</v>
      </c>
      <c r="R98" s="3" t="s">
        <v>295</v>
      </c>
      <c r="S98" s="85">
        <f>VLOOKUP($Q98,Iedz_sk!$B$14:$R$123,3,FALSE)*B$64</f>
        <v>22656.491473229769</v>
      </c>
      <c r="T98" s="85">
        <f>VLOOKUP($Q98,Iedz_sk!$B$14:$R$123,4,FALSE)*C$64</f>
        <v>24515.537814870277</v>
      </c>
      <c r="U98" s="85">
        <f>VLOOKUP($Q98,Iedz_sk!$B$14:$R$123,5,FALSE)*D$64</f>
        <v>24967.689640693789</v>
      </c>
      <c r="V98" s="85">
        <f>VLOOKUP($Q98,Iedz_sk!$B$14:$R$123,6,FALSE)*E$64</f>
        <v>25276.478022976691</v>
      </c>
      <c r="W98" s="85">
        <f>VLOOKUP($Q98,Iedz_sk!$B$14:$R$123,7,FALSE)*F$64</f>
        <v>25839.319028298625</v>
      </c>
      <c r="X98" s="85">
        <f>VLOOKUP($Q98,Iedz_sk!$B$14:$R$123,8,FALSE)*G$64</f>
        <v>26635.400459179702</v>
      </c>
      <c r="Y98" s="91">
        <f>VLOOKUP($Q98,Iedz_sk!$B$14:$R$123,9,FALSE)*H$64</f>
        <v>27925.938645175014</v>
      </c>
      <c r="Z98" s="91">
        <f>VLOOKUP($Q98,Iedz_sk!$B$14:$R$123,10,FALSE)*I$64</f>
        <v>26974.825916409474</v>
      </c>
      <c r="AA98" s="91">
        <f>VLOOKUP($Q98,Iedz_sk!$B$14:$R$123,11,FALSE)*J$64</f>
        <v>28077.522318024428</v>
      </c>
      <c r="AB98" s="91">
        <f>VLOOKUP($Q98,Iedz_sk!$B$14:$R$123,16,FALSE)*K$64</f>
        <v>29623.600411494226</v>
      </c>
      <c r="AC98" s="162">
        <f>VLOOKUP($Q98,Iedz_sk!$B$14:$R$123,17,FALSE)*L$64</f>
        <v>30862.330422142168</v>
      </c>
      <c r="AD98" s="163">
        <f>VLOOKUP($Q98,Iedz_sk!$B$14:$Y$123,24,FALSE)*M$64</f>
        <v>38500.826115146287</v>
      </c>
    </row>
    <row r="99" spans="17:30" x14ac:dyDescent="0.35">
      <c r="Q99" s="3" t="s">
        <v>95</v>
      </c>
      <c r="R99" s="3" t="s">
        <v>295</v>
      </c>
      <c r="S99" s="85">
        <f>VLOOKUP($Q99,Iedz_sk!$B$14:$R$123,3,FALSE)*B$64</f>
        <v>23409.444880948111</v>
      </c>
      <c r="T99" s="85">
        <f>VLOOKUP($Q99,Iedz_sk!$B$14:$R$123,4,FALSE)*C$64</f>
        <v>25247.547238150895</v>
      </c>
      <c r="U99" s="85">
        <f>VLOOKUP($Q99,Iedz_sk!$B$14:$R$123,5,FALSE)*D$64</f>
        <v>25780.85427073621</v>
      </c>
      <c r="V99" s="85">
        <f>VLOOKUP($Q99,Iedz_sk!$B$14:$R$123,6,FALSE)*E$64</f>
        <v>26149.837470934424</v>
      </c>
      <c r="W99" s="85">
        <f>VLOOKUP($Q99,Iedz_sk!$B$14:$R$123,7,FALSE)*F$64</f>
        <v>26405.805122166617</v>
      </c>
      <c r="X99" s="85">
        <f>VLOOKUP($Q99,Iedz_sk!$B$14:$R$123,8,FALSE)*G$64</f>
        <v>26604.129076192701</v>
      </c>
      <c r="Y99" s="91">
        <f>VLOOKUP($Q99,Iedz_sk!$B$14:$R$123,9,FALSE)*H$64</f>
        <v>27726.229906353739</v>
      </c>
      <c r="Z99" s="91">
        <f>VLOOKUP($Q99,Iedz_sk!$B$14:$R$123,10,FALSE)*I$64</f>
        <v>26406.007193491427</v>
      </c>
      <c r="AA99" s="91">
        <f>VLOOKUP($Q99,Iedz_sk!$B$14:$R$123,11,FALSE)*J$64</f>
        <v>27659.346453713428</v>
      </c>
      <c r="AB99" s="91">
        <f>VLOOKUP($Q99,Iedz_sk!$B$14:$R$123,16,FALSE)*K$64</f>
        <v>29076.534845261645</v>
      </c>
      <c r="AC99" s="162">
        <f>VLOOKUP($Q99,Iedz_sk!$B$14:$R$123,17,FALSE)*L$64</f>
        <v>30198.313958429102</v>
      </c>
      <c r="AD99" s="163">
        <f>VLOOKUP($Q99,Iedz_sk!$B$14:$Y$123,24,FALSE)*M$64</f>
        <v>36652.997642016191</v>
      </c>
    </row>
    <row r="100" spans="17:30" x14ac:dyDescent="0.35">
      <c r="Q100" s="3" t="s">
        <v>101</v>
      </c>
      <c r="R100" s="3" t="s">
        <v>295</v>
      </c>
      <c r="S100" s="85">
        <f>VLOOKUP($Q100,Iedz_sk!$B$14:$R$123,3,FALSE)*B$64</f>
        <v>22372.591008024494</v>
      </c>
      <c r="T100" s="85">
        <f>VLOOKUP($Q100,Iedz_sk!$B$14:$R$123,4,FALSE)*C$64</f>
        <v>24088.532317956586</v>
      </c>
      <c r="U100" s="85">
        <f>VLOOKUP($Q100,Iedz_sk!$B$14:$R$123,5,FALSE)*D$64</f>
        <v>24805.056714685306</v>
      </c>
      <c r="V100" s="85">
        <f>VLOOKUP($Q100,Iedz_sk!$B$14:$R$123,6,FALSE)*E$64</f>
        <v>25283.756018376338</v>
      </c>
      <c r="W100" s="85">
        <f>VLOOKUP($Q100,Iedz_sk!$B$14:$R$123,7,FALSE)*F$64</f>
        <v>25778.893844952705</v>
      </c>
      <c r="X100" s="85">
        <f>VLOOKUP($Q100,Iedz_sk!$B$14:$R$123,8,FALSE)*G$64</f>
        <v>26314.868783562924</v>
      </c>
      <c r="Y100" s="91">
        <f>VLOOKUP($Q100,Iedz_sk!$B$14:$R$123,9,FALSE)*H$64</f>
        <v>27784.478288509945</v>
      </c>
      <c r="Z100" s="91">
        <f>VLOOKUP($Q100,Iedz_sk!$B$14:$R$123,10,FALSE)*I$64</f>
        <v>27343.3563566099</v>
      </c>
      <c r="AA100" s="91">
        <f>VLOOKUP($Q100,Iedz_sk!$B$14:$R$123,11,FALSE)*J$64</f>
        <v>29161.365884708048</v>
      </c>
      <c r="AB100" s="91">
        <f>VLOOKUP($Q100,Iedz_sk!$B$14:$R$123,16,FALSE)*K$64</f>
        <v>30553.611874089613</v>
      </c>
      <c r="AC100" s="162">
        <f>VLOOKUP($Q100,Iedz_sk!$B$14:$R$123,17,FALSE)*L$64</f>
        <v>31612.957728948244</v>
      </c>
      <c r="AD100" s="163">
        <f>VLOOKUP($Q100,Iedz_sk!$B$14:$Y$123,24,FALSE)*M$64</f>
        <v>37246.942508379434</v>
      </c>
    </row>
    <row r="101" spans="17:30" x14ac:dyDescent="0.35">
      <c r="Q101" s="3" t="s">
        <v>107</v>
      </c>
      <c r="R101" s="3" t="s">
        <v>295</v>
      </c>
      <c r="S101" s="85">
        <f>VLOOKUP($Q101,Iedz_sk!$B$14:$R$123,3,FALSE)*B$64</f>
        <v>22088.690542819219</v>
      </c>
      <c r="T101" s="85">
        <f>VLOOKUP($Q101,Iedz_sk!$B$14:$R$123,4,FALSE)*C$64</f>
        <v>23729.305471346652</v>
      </c>
      <c r="U101" s="85">
        <f>VLOOKUP($Q101,Iedz_sk!$B$14:$R$123,5,FALSE)*D$64</f>
        <v>24310.086939876877</v>
      </c>
      <c r="V101" s="85">
        <f>VLOOKUP($Q101,Iedz_sk!$B$14:$R$123,6,FALSE)*E$64</f>
        <v>25414.75993557</v>
      </c>
      <c r="W101" s="85">
        <f>VLOOKUP($Q101,Iedz_sk!$B$14:$R$123,7,FALSE)*F$64</f>
        <v>25665.596626179107</v>
      </c>
      <c r="X101" s="85">
        <f>VLOOKUP($Q101,Iedz_sk!$B$14:$R$123,8,FALSE)*G$64</f>
        <v>26549.404155965447</v>
      </c>
      <c r="Y101" s="91">
        <f>VLOOKUP($Q101,Iedz_sk!$B$14:$R$123,9,FALSE)*H$64</f>
        <v>27784.478288509945</v>
      </c>
      <c r="Z101" s="91">
        <f>VLOOKUP($Q101,Iedz_sk!$B$14:$R$123,10,FALSE)*I$64</f>
        <v>26862.664478087605</v>
      </c>
      <c r="AA101" s="91">
        <f>VLOOKUP($Q101,Iedz_sk!$B$14:$R$123,11,FALSE)*J$64</f>
        <v>27932.440895712447</v>
      </c>
      <c r="AB101" s="91">
        <f>VLOOKUP($Q101,Iedz_sk!$B$14:$R$123,16,FALSE)*K$64</f>
        <v>29477.71626049887</v>
      </c>
      <c r="AC101" s="162">
        <f>VLOOKUP($Q101,Iedz_sk!$B$14:$R$123,17,FALSE)*L$64</f>
        <v>30717.979016987152</v>
      </c>
      <c r="AD101" s="163">
        <f>VLOOKUP($Q101,Iedz_sk!$B$14:$Y$123,24,FALSE)*M$64</f>
        <v>38408.434691489783</v>
      </c>
    </row>
    <row r="102" spans="17:30" x14ac:dyDescent="0.35">
      <c r="Q102" s="3" t="s">
        <v>114</v>
      </c>
      <c r="R102" s="3" t="s">
        <v>295</v>
      </c>
      <c r="S102" s="85">
        <f>VLOOKUP($Q102,Iedz_sk!$B$14:$R$123,3,FALSE)*B$64</f>
        <v>53299.226467668836</v>
      </c>
      <c r="T102" s="85">
        <f>VLOOKUP($Q102,Iedz_sk!$B$14:$R$123,4,FALSE)*C$64</f>
        <v>57516.962647771405</v>
      </c>
      <c r="U102" s="85">
        <f>VLOOKUP($Q102,Iedz_sk!$B$14:$R$123,5,FALSE)*D$64</f>
        <v>59219.598057437128</v>
      </c>
      <c r="V102" s="85">
        <f>VLOOKUP($Q102,Iedz_sk!$B$14:$R$123,6,FALSE)*E$64</f>
        <v>60138.075987289492</v>
      </c>
      <c r="W102" s="85">
        <f>VLOOKUP($Q102,Iedz_sk!$B$14:$R$123,7,FALSE)*F$64</f>
        <v>60417.630198000792</v>
      </c>
      <c r="X102" s="85">
        <f>VLOOKUP($Q102,Iedz_sk!$B$14:$R$123,8,FALSE)*G$64</f>
        <v>61706.256479103431</v>
      </c>
      <c r="Y102" s="91">
        <f>VLOOKUP($Q102,Iedz_sk!$B$14:$R$123,9,FALSE)*H$64</f>
        <v>64963.58849907072</v>
      </c>
      <c r="Z102" s="91">
        <f>VLOOKUP($Q102,Iedz_sk!$B$14:$R$123,10,FALSE)*I$64</f>
        <v>62874.497710716234</v>
      </c>
      <c r="AA102" s="91">
        <f>VLOOKUP($Q102,Iedz_sk!$B$14:$R$123,11,FALSE)*J$64</f>
        <v>66524.099230699212</v>
      </c>
      <c r="AB102" s="91">
        <f>VLOOKUP($Q102,Iedz_sk!$B$14:$R$123,16,FALSE)*K$64</f>
        <v>69750.859694653991</v>
      </c>
      <c r="AC102" s="162">
        <f>VLOOKUP($Q102,Iedz_sk!$B$14:$R$123,17,FALSE)*L$64</f>
        <v>72223.819712559081</v>
      </c>
      <c r="AD102" s="163">
        <f>VLOOKUP($Q102,Iedz_sk!$B$14:$Y$123,24,FALSE)*M$64</f>
        <v>85633.650954771714</v>
      </c>
    </row>
    <row r="103" spans="17:30" x14ac:dyDescent="0.35">
      <c r="Q103" s="3" t="s">
        <v>116</v>
      </c>
      <c r="R103" s="3" t="s">
        <v>295</v>
      </c>
      <c r="S103" s="85">
        <f>VLOOKUP($Q103,Iedz_sk!$B$14:$R$123,3,FALSE)*B$64</f>
        <v>24767.229714538564</v>
      </c>
      <c r="T103" s="85">
        <f>VLOOKUP($Q103,Iedz_sk!$B$14:$R$123,4,FALSE)*C$64</f>
        <v>26874.234845441151</v>
      </c>
      <c r="U103" s="85">
        <f>VLOOKUP($Q103,Iedz_sk!$B$14:$R$123,5,FALSE)*D$64</f>
        <v>27477.893498650825</v>
      </c>
      <c r="V103" s="85">
        <f>VLOOKUP($Q103,Iedz_sk!$B$14:$R$123,6,FALSE)*E$64</f>
        <v>27765.552449656228</v>
      </c>
      <c r="W103" s="85">
        <f>VLOOKUP($Q103,Iedz_sk!$B$14:$R$123,7,FALSE)*F$64</f>
        <v>27954.200445405793</v>
      </c>
      <c r="X103" s="85">
        <f>VLOOKUP($Q103,Iedz_sk!$B$14:$R$123,8,FALSE)*G$64</f>
        <v>28292.783757490855</v>
      </c>
      <c r="Y103" s="91">
        <f>VLOOKUP($Q103,Iedz_sk!$B$14:$R$123,9,FALSE)*H$64</f>
        <v>29681.71130731206</v>
      </c>
      <c r="Z103" s="91">
        <f>VLOOKUP($Q103,Iedz_sk!$B$14:$R$123,10,FALSE)*I$64</f>
        <v>28633.212897311394</v>
      </c>
      <c r="AA103" s="91">
        <f>VLOOKUP($Q103,Iedz_sk!$B$14:$R$123,11,FALSE)*J$64</f>
        <v>30168.401639579439</v>
      </c>
      <c r="AB103" s="91">
        <f>VLOOKUP($Q103,Iedz_sk!$B$14:$R$123,16,FALSE)*K$64</f>
        <v>31465.387817810581</v>
      </c>
      <c r="AC103" s="162">
        <f>VLOOKUP($Q103,Iedz_sk!$B$14:$R$123,17,FALSE)*L$64</f>
        <v>32402.078743795661</v>
      </c>
      <c r="AD103" s="163">
        <f>VLOOKUP($Q103,Iedz_sk!$B$14:$Y$123,24,FALSE)*M$64</f>
        <v>36692.593966440407</v>
      </c>
    </row>
    <row r="104" spans="17:30" x14ac:dyDescent="0.35">
      <c r="Q104" s="3" t="s">
        <v>10</v>
      </c>
      <c r="R104" s="3" t="s">
        <v>296</v>
      </c>
      <c r="S104" s="85">
        <f>VLOOKUP($Q104,Iedz_sk!$B$14:$R$123,3,FALSE)*B$65</f>
        <v>16192.161357926059</v>
      </c>
      <c r="T104" s="85">
        <f>VLOOKUP($Q104,Iedz_sk!$B$14:$R$123,4,FALSE)*C$65</f>
        <v>16412.450005032952</v>
      </c>
      <c r="U104" s="85">
        <f>VLOOKUP($Q104,Iedz_sk!$B$14:$R$123,5,FALSE)*D$65</f>
        <v>16937.195568929441</v>
      </c>
      <c r="V104" s="85">
        <f>VLOOKUP($Q104,Iedz_sk!$B$14:$R$123,6,FALSE)*E$65</f>
        <v>17055.530743018</v>
      </c>
      <c r="W104" s="85">
        <f>VLOOKUP($Q104,Iedz_sk!$B$14:$R$123,7,FALSE)*F$65</f>
        <v>18523.49793261139</v>
      </c>
      <c r="X104" s="85">
        <f>VLOOKUP($Q104,Iedz_sk!$B$14:$R$123,8,FALSE)*G$65</f>
        <v>19318.633381339972</v>
      </c>
      <c r="Y104" s="91">
        <f>VLOOKUP($Q104,Iedz_sk!$B$14:$R$123,9,FALSE)*H$65</f>
        <v>20061.256373884862</v>
      </c>
      <c r="Z104" s="91">
        <f>VLOOKUP($Q104,Iedz_sk!$B$14:$R$123,10,FALSE)*I$65</f>
        <v>19132.529698367471</v>
      </c>
      <c r="AA104" s="91">
        <f>VLOOKUP($Q104,Iedz_sk!$B$14:$R$123,11,FALSE)*J$65</f>
        <v>20003.89150818995</v>
      </c>
      <c r="AB104" s="91">
        <f>VLOOKUP($Q104,Iedz_sk!$B$14:$R$123,16,FALSE)*K$65</f>
        <v>21008.52163844333</v>
      </c>
      <c r="AC104" s="162">
        <f>VLOOKUP($Q104,Iedz_sk!$B$14:$R$123,17,FALSE)*L$65</f>
        <v>21782.389328454396</v>
      </c>
      <c r="AD104" s="163">
        <f>VLOOKUP($Q104,Iedz_sk!$B$14:$Y$123,24,FALSE)*M$65</f>
        <v>26157.007071792112</v>
      </c>
    </row>
    <row r="105" spans="17:30" x14ac:dyDescent="0.35">
      <c r="Q105" s="3" t="s">
        <v>23</v>
      </c>
      <c r="R105" s="3" t="s">
        <v>296</v>
      </c>
      <c r="S105" s="85">
        <f>VLOOKUP($Q105,Iedz_sk!$B$14:$R$123,3,FALSE)*B$65</f>
        <v>4844.8651220952452</v>
      </c>
      <c r="T105" s="85">
        <f>VLOOKUP($Q105,Iedz_sk!$B$14:$R$123,4,FALSE)*C$65</f>
        <v>4891.6227299910588</v>
      </c>
      <c r="U105" s="85">
        <f>VLOOKUP($Q105,Iedz_sk!$B$14:$R$123,5,FALSE)*D$65</f>
        <v>5008.6827997515511</v>
      </c>
      <c r="V105" s="85">
        <f>VLOOKUP($Q105,Iedz_sk!$B$14:$R$123,6,FALSE)*E$65</f>
        <v>5039.6774328962638</v>
      </c>
      <c r="W105" s="85">
        <f>VLOOKUP($Q105,Iedz_sk!$B$14:$R$123,7,FALSE)*F$65</f>
        <v>5585.0826129759598</v>
      </c>
      <c r="X105" s="85">
        <f>VLOOKUP($Q105,Iedz_sk!$B$14:$R$123,8,FALSE)*G$65</f>
        <v>5838.2089396615211</v>
      </c>
      <c r="Y105" s="91">
        <f>VLOOKUP($Q105,Iedz_sk!$B$14:$R$123,9,FALSE)*H$65</f>
        <v>6054.2118107336637</v>
      </c>
      <c r="Z105" s="91">
        <f>VLOOKUP($Q105,Iedz_sk!$B$14:$R$123,10,FALSE)*I$65</f>
        <v>6009.0677380126363</v>
      </c>
      <c r="AA105" s="91">
        <f>VLOOKUP($Q105,Iedz_sk!$B$14:$R$123,11,FALSE)*J$65</f>
        <v>6161.6194422005201</v>
      </c>
      <c r="AB105" s="91">
        <f>VLOOKUP($Q105,Iedz_sk!$B$14:$R$123,16,FALSE)*K$65</f>
        <v>6472.322322954763</v>
      </c>
      <c r="AC105" s="162">
        <f>VLOOKUP($Q105,Iedz_sk!$B$14:$R$123,17,FALSE)*L$65</f>
        <v>6714.4196307593284</v>
      </c>
      <c r="AD105" s="163">
        <f>VLOOKUP($Q105,Iedz_sk!$B$14:$Y$123,24,FALSE)*M$65</f>
        <v>8073.5555077300614</v>
      </c>
    </row>
    <row r="106" spans="17:30" x14ac:dyDescent="0.35">
      <c r="Q106" s="3" t="s">
        <v>24</v>
      </c>
      <c r="R106" s="3" t="s">
        <v>296</v>
      </c>
      <c r="S106" s="85">
        <f>VLOOKUP($Q106,Iedz_sk!$B$14:$R$123,3,FALSE)*B$65</f>
        <v>57989.243136846249</v>
      </c>
      <c r="T106" s="85">
        <f>VLOOKUP($Q106,Iedz_sk!$B$14:$R$123,4,FALSE)*C$65</f>
        <v>58510.318283822911</v>
      </c>
      <c r="U106" s="85">
        <f>VLOOKUP($Q106,Iedz_sk!$B$14:$R$123,5,FALSE)*D$65</f>
        <v>60154.972869642828</v>
      </c>
      <c r="V106" s="85">
        <f>VLOOKUP($Q106,Iedz_sk!$B$14:$R$123,6,FALSE)*E$65</f>
        <v>60667.388300367929</v>
      </c>
      <c r="W106" s="85">
        <f>VLOOKUP($Q106,Iedz_sk!$B$14:$R$123,7,FALSE)*F$65</f>
        <v>66535.800781225189</v>
      </c>
      <c r="X106" s="85">
        <f>VLOOKUP($Q106,Iedz_sk!$B$14:$R$123,8,FALSE)*G$65</f>
        <v>70811.636229154581</v>
      </c>
      <c r="Y106" s="91">
        <f>VLOOKUP($Q106,Iedz_sk!$B$14:$R$123,9,FALSE)*H$65</f>
        <v>75297.294763402999</v>
      </c>
      <c r="Z106" s="91">
        <f>VLOOKUP($Q106,Iedz_sk!$B$14:$R$123,10,FALSE)*I$65</f>
        <v>72114.919632308156</v>
      </c>
      <c r="AA106" s="91">
        <f>VLOOKUP($Q106,Iedz_sk!$B$14:$R$123,11,FALSE)*J$65</f>
        <v>76122.632511113363</v>
      </c>
      <c r="AB106" s="91">
        <f>VLOOKUP($Q106,Iedz_sk!$B$14:$R$123,16,FALSE)*K$65</f>
        <v>79874.823683940092</v>
      </c>
      <c r="AC106" s="162">
        <f>VLOOKUP($Q106,Iedz_sk!$B$14:$R$123,17,FALSE)*L$65</f>
        <v>82768.568079953737</v>
      </c>
      <c r="AD106" s="163">
        <f>VLOOKUP($Q106,Iedz_sk!$B$14:$Y$123,24,FALSE)*M$65</f>
        <v>98654.909984701488</v>
      </c>
    </row>
    <row r="107" spans="17:30" x14ac:dyDescent="0.35">
      <c r="Q107" s="3" t="s">
        <v>32</v>
      </c>
      <c r="R107" s="3" t="s">
        <v>296</v>
      </c>
      <c r="S107" s="85">
        <f>VLOOKUP($Q107,Iedz_sk!$B$14:$R$123,3,FALSE)*B$65</f>
        <v>12007.765975430431</v>
      </c>
      <c r="T107" s="85">
        <f>VLOOKUP($Q107,Iedz_sk!$B$14:$R$123,4,FALSE)*C$65</f>
        <v>12119.083292378928</v>
      </c>
      <c r="U107" s="85">
        <f>VLOOKUP($Q107,Iedz_sk!$B$14:$R$123,5,FALSE)*D$65</f>
        <v>12496.317363066773</v>
      </c>
      <c r="V107" s="85">
        <f>VLOOKUP($Q107,Iedz_sk!$B$14:$R$123,6,FALSE)*E$65</f>
        <v>12713.949045608317</v>
      </c>
      <c r="W107" s="85">
        <f>VLOOKUP($Q107,Iedz_sk!$B$14:$R$123,7,FALSE)*F$65</f>
        <v>13844.104392009909</v>
      </c>
      <c r="X107" s="85">
        <f>VLOOKUP($Q107,Iedz_sk!$B$14:$R$123,8,FALSE)*G$65</f>
        <v>14683.095483248724</v>
      </c>
      <c r="Y107" s="91">
        <f>VLOOKUP($Q107,Iedz_sk!$B$14:$R$123,9,FALSE)*H$65</f>
        <v>15270.696249503706</v>
      </c>
      <c r="Z107" s="91">
        <f>VLOOKUP($Q107,Iedz_sk!$B$14:$R$123,10,FALSE)*I$65</f>
        <v>14967.708359622939</v>
      </c>
      <c r="AA107" s="91">
        <f>VLOOKUP($Q107,Iedz_sk!$B$14:$R$123,11,FALSE)*J$65</f>
        <v>15532.278679271749</v>
      </c>
      <c r="AB107" s="91">
        <f>VLOOKUP($Q107,Iedz_sk!$B$14:$R$123,16,FALSE)*K$65</f>
        <v>16382.402732200253</v>
      </c>
      <c r="AC107" s="162">
        <f>VLOOKUP($Q107,Iedz_sk!$B$14:$R$123,17,FALSE)*L$65</f>
        <v>17068.009587708482</v>
      </c>
      <c r="AD107" s="163">
        <f>VLOOKUP($Q107,Iedz_sk!$B$14:$Y$123,24,FALSE)*M$65</f>
        <v>21332.565365953415</v>
      </c>
    </row>
    <row r="108" spans="17:30" x14ac:dyDescent="0.35">
      <c r="Q108" s="3" t="s">
        <v>33</v>
      </c>
      <c r="R108" s="3" t="s">
        <v>296</v>
      </c>
      <c r="S108" s="85">
        <f>VLOOKUP($Q108,Iedz_sk!$B$14:$R$123,3,FALSE)*B$65</f>
        <v>34148.416084847224</v>
      </c>
      <c r="T108" s="85">
        <f>VLOOKUP($Q108,Iedz_sk!$B$14:$R$123,4,FALSE)*C$65</f>
        <v>34395.32205557562</v>
      </c>
      <c r="U108" s="85">
        <f>VLOOKUP($Q108,Iedz_sk!$B$14:$R$123,5,FALSE)*D$65</f>
        <v>35300.827068848033</v>
      </c>
      <c r="V108" s="85">
        <f>VLOOKUP($Q108,Iedz_sk!$B$14:$R$123,6,FALSE)*E$65</f>
        <v>35669.823196780009</v>
      </c>
      <c r="W108" s="85">
        <f>VLOOKUP($Q108,Iedz_sk!$B$14:$R$123,7,FALSE)*F$65</f>
        <v>39100.969297214906</v>
      </c>
      <c r="X108" s="85">
        <f>VLOOKUP($Q108,Iedz_sk!$B$14:$R$123,8,FALSE)*G$65</f>
        <v>40820.756906113354</v>
      </c>
      <c r="Y108" s="91">
        <f>VLOOKUP($Q108,Iedz_sk!$B$14:$R$123,9,FALSE)*H$65</f>
        <v>42605.808350303261</v>
      </c>
      <c r="Z108" s="91">
        <f>VLOOKUP($Q108,Iedz_sk!$B$14:$R$123,10,FALSE)*I$65</f>
        <v>40823.798606315526</v>
      </c>
      <c r="AA108" s="91">
        <f>VLOOKUP($Q108,Iedz_sk!$B$14:$R$123,11,FALSE)*J$65</f>
        <v>42578.960393007867</v>
      </c>
      <c r="AB108" s="91">
        <f>VLOOKUP($Q108,Iedz_sk!$B$14:$R$123,16,FALSE)*K$65</f>
        <v>44676.707969160969</v>
      </c>
      <c r="AC108" s="162">
        <f>VLOOKUP($Q108,Iedz_sk!$B$14:$R$123,17,FALSE)*L$65</f>
        <v>46286.637454596217</v>
      </c>
      <c r="AD108" s="163">
        <f>VLOOKUP($Q108,Iedz_sk!$B$14:$Y$123,24,FALSE)*M$65</f>
        <v>55147.416415267267</v>
      </c>
    </row>
    <row r="109" spans="17:30" x14ac:dyDescent="0.35">
      <c r="Q109" s="3" t="s">
        <v>2</v>
      </c>
      <c r="R109" s="3" t="s">
        <v>296</v>
      </c>
      <c r="S109" s="85">
        <f>VLOOKUP($Q109,$A$20:$L$28,2,FALSE)</f>
        <v>724319</v>
      </c>
      <c r="T109" s="85">
        <f>VLOOKUP($Q109,$A$20:$L$28,3,FALSE)</f>
        <v>728322</v>
      </c>
      <c r="U109" s="85">
        <f>VLOOKUP($Q109,$A$20:$L$28,4,FALSE)</f>
        <v>719182</v>
      </c>
      <c r="V109" s="85">
        <f>VLOOKUP($Q109,$A$20:$L$28,5,FALSE)</f>
        <v>722341</v>
      </c>
      <c r="W109" s="85">
        <f>VLOOKUP($Q109,$A$20:$L$28,6,FALSE)</f>
        <v>761088</v>
      </c>
      <c r="X109" s="85">
        <f>VLOOKUP($Q109,$A$20:$L$28,7,FALSE)</f>
        <v>693172</v>
      </c>
      <c r="Y109" s="91">
        <f>VLOOKUP($Q109,$A$20:$L$28,8,FALSE)</f>
        <v>728686.27649347472</v>
      </c>
      <c r="Z109" s="91">
        <f>VLOOKUP($Q109,$A$20:$L$28,9,FALSE)</f>
        <v>701670.20320608572</v>
      </c>
      <c r="AA109" s="91">
        <f>VLOOKUP($Q109,$A$20:$L$28,10,FALSE)</f>
        <v>738858.72397600824</v>
      </c>
      <c r="AB109" s="91">
        <f>VLOOKUP($Q109,$A$20:$L$28,11,FALSE)</f>
        <v>776540.51889878465</v>
      </c>
      <c r="AC109" s="162">
        <f>VLOOKUP($Q109,$A$20:$L$28,12,FALSE)</f>
        <v>806049.05861693854</v>
      </c>
      <c r="AD109" s="163">
        <f>VLOOKUP($Q109,$A$20:$M$28,13,FALSE)</f>
        <v>975319.36092649563</v>
      </c>
    </row>
    <row r="110" spans="17:30" x14ac:dyDescent="0.35">
      <c r="Q110" s="3" t="s">
        <v>34</v>
      </c>
      <c r="R110" s="3" t="s">
        <v>296</v>
      </c>
      <c r="S110" s="85">
        <f>VLOOKUP($Q110,Iedz_sk!$B$14:$R$123,3,FALSE)*B$65</f>
        <v>102266.28226058563</v>
      </c>
      <c r="T110" s="85">
        <f>VLOOKUP($Q110,Iedz_sk!$B$14:$R$123,4,FALSE)*C$65</f>
        <v>103388.3174667085</v>
      </c>
      <c r="U110" s="85">
        <f>VLOOKUP($Q110,Iedz_sk!$B$14:$R$123,5,FALSE)*D$65</f>
        <v>105473.16553799396</v>
      </c>
      <c r="V110" s="85">
        <f>VLOOKUP($Q110,Iedz_sk!$B$14:$R$123,6,FALSE)*E$65</f>
        <v>105651.52994048942</v>
      </c>
      <c r="W110" s="85">
        <f>VLOOKUP($Q110,Iedz_sk!$B$14:$R$123,7,FALSE)*F$65</f>
        <v>114833.82696814761</v>
      </c>
      <c r="X110" s="85">
        <f>VLOOKUP($Q110,Iedz_sk!$B$14:$R$123,8,FALSE)*G$65</f>
        <v>120757.5137079589</v>
      </c>
      <c r="Y110" s="91">
        <f>VLOOKUP($Q110,Iedz_sk!$B$14:$R$123,9,FALSE)*H$65</f>
        <v>126673.22302645129</v>
      </c>
      <c r="Z110" s="91">
        <f>VLOOKUP($Q110,Iedz_sk!$B$14:$R$123,10,FALSE)*I$65</f>
        <v>122593.53134207691</v>
      </c>
      <c r="AA110" s="91">
        <f>VLOOKUP($Q110,Iedz_sk!$B$14:$R$123,11,FALSE)*J$65</f>
        <v>128578.59653505526</v>
      </c>
      <c r="AB110" s="91">
        <f>VLOOKUP($Q110,Iedz_sk!$B$14:$R$123,16,FALSE)*K$65</f>
        <v>134164.52185735846</v>
      </c>
      <c r="AC110" s="162">
        <f>VLOOKUP($Q110,Iedz_sk!$B$14:$R$123,17,FALSE)*L$65</f>
        <v>138205.76397870909</v>
      </c>
      <c r="AD110" s="163">
        <f>VLOOKUP($Q110,Iedz_sk!$B$14:$Y$123,24,FALSE)*M$65</f>
        <v>156187.19781011125</v>
      </c>
    </row>
    <row r="111" spans="17:30" x14ac:dyDescent="0.35">
      <c r="Q111" s="3" t="s">
        <v>45</v>
      </c>
      <c r="R111" s="3" t="s">
        <v>296</v>
      </c>
      <c r="S111" s="85">
        <f>VLOOKUP($Q111,Iedz_sk!$B$14:$R$123,3,FALSE)*B$65</f>
        <v>33176.88640337166</v>
      </c>
      <c r="T111" s="85">
        <f>VLOOKUP($Q111,Iedz_sk!$B$14:$R$123,4,FALSE)*C$65</f>
        <v>33154.820607862057</v>
      </c>
      <c r="U111" s="85">
        <f>VLOOKUP($Q111,Iedz_sk!$B$14:$R$123,5,FALSE)*D$65</f>
        <v>34391.416459123553</v>
      </c>
      <c r="V111" s="85">
        <f>VLOOKUP($Q111,Iedz_sk!$B$14:$R$123,6,FALSE)*E$65</f>
        <v>34474.453786700251</v>
      </c>
      <c r="W111" s="85">
        <f>VLOOKUP($Q111,Iedz_sk!$B$14:$R$123,7,FALSE)*F$65</f>
        <v>37855.646822699993</v>
      </c>
      <c r="X111" s="85">
        <f>VLOOKUP($Q111,Iedz_sk!$B$14:$R$123,8,FALSE)*G$65</f>
        <v>39816.584968491574</v>
      </c>
      <c r="Y111" s="91">
        <f>VLOOKUP($Q111,Iedz_sk!$B$14:$R$123,9,FALSE)*H$65</f>
        <v>41587.342812048999</v>
      </c>
      <c r="Z111" s="91">
        <f>VLOOKUP($Q111,Iedz_sk!$B$14:$R$123,10,FALSE)*I$65</f>
        <v>39834.500868959782</v>
      </c>
      <c r="AA111" s="91">
        <f>VLOOKUP($Q111,Iedz_sk!$B$14:$R$123,11,FALSE)*J$65</f>
        <v>41914.794369889132</v>
      </c>
      <c r="AB111" s="91">
        <f>VLOOKUP($Q111,Iedz_sk!$B$14:$R$123,16,FALSE)*K$65</f>
        <v>44047.159677638592</v>
      </c>
      <c r="AC111" s="162">
        <f>VLOOKUP($Q111,Iedz_sk!$B$14:$R$123,17,FALSE)*L$65</f>
        <v>45722.716432975896</v>
      </c>
      <c r="AD111" s="163">
        <f>VLOOKUP($Q111,Iedz_sk!$B$14:$Y$123,24,FALSE)*M$65</f>
        <v>55289.633517706956</v>
      </c>
    </row>
    <row r="112" spans="17:30" x14ac:dyDescent="0.35">
      <c r="Q112" s="3" t="s">
        <v>53</v>
      </c>
      <c r="R112" s="3" t="s">
        <v>296</v>
      </c>
      <c r="S112" s="85">
        <f>VLOOKUP($Q112,Iedz_sk!$B$14:$R$123,3,FALSE)*B$65</f>
        <v>25711.447798348905</v>
      </c>
      <c r="T112" s="85">
        <f>VLOOKUP($Q112,Iedz_sk!$B$14:$R$123,4,FALSE)*C$65</f>
        <v>26010.939930249217</v>
      </c>
      <c r="U112" s="85">
        <f>VLOOKUP($Q112,Iedz_sk!$B$14:$R$123,5,FALSE)*D$65</f>
        <v>26829.921135627665</v>
      </c>
      <c r="V112" s="85">
        <f>VLOOKUP($Q112,Iedz_sk!$B$14:$R$123,6,FALSE)*E$65</f>
        <v>27154.011519371805</v>
      </c>
      <c r="W112" s="85">
        <f>VLOOKUP($Q112,Iedz_sk!$B$14:$R$123,7,FALSE)*F$65</f>
        <v>29823.047311759663</v>
      </c>
      <c r="X112" s="85">
        <f>VLOOKUP($Q112,Iedz_sk!$B$14:$R$123,8,FALSE)*G$65</f>
        <v>31485.460811594581</v>
      </c>
      <c r="Y112" s="91">
        <f>VLOOKUP($Q112,Iedz_sk!$B$14:$R$123,9,FALSE)*H$65</f>
        <v>33181.858709296241</v>
      </c>
      <c r="Z112" s="91">
        <f>VLOOKUP($Q112,Iedz_sk!$B$14:$R$123,10,FALSE)*I$65</f>
        <v>31987.293507835559</v>
      </c>
      <c r="AA112" s="91">
        <f>VLOOKUP($Q112,Iedz_sk!$B$14:$R$123,11,FALSE)*J$65</f>
        <v>33714.645549799432</v>
      </c>
      <c r="AB112" s="91">
        <f>VLOOKUP($Q112,Iedz_sk!$B$14:$R$123,16,FALSE)*K$65</f>
        <v>35396.175851437853</v>
      </c>
      <c r="AC112" s="162">
        <f>VLOOKUP($Q112,Iedz_sk!$B$14:$R$123,17,FALSE)*L$65</f>
        <v>36692.461140095766</v>
      </c>
      <c r="AD112" s="163">
        <f>VLOOKUP($Q112,Iedz_sk!$B$14:$Y$123,24,FALSE)*M$65</f>
        <v>43945.084653864033</v>
      </c>
    </row>
    <row r="113" spans="17:30" x14ac:dyDescent="0.35">
      <c r="Q113" s="3" t="s">
        <v>56</v>
      </c>
      <c r="R113" s="3" t="s">
        <v>296</v>
      </c>
      <c r="S113" s="85">
        <f>VLOOKUP($Q113,Iedz_sk!$B$14:$R$123,3,FALSE)*B$65</f>
        <v>71394.648303171343</v>
      </c>
      <c r="T113" s="85">
        <f>VLOOKUP($Q113,Iedz_sk!$B$14:$R$123,4,FALSE)*C$65</f>
        <v>71663.152782629797</v>
      </c>
      <c r="U113" s="85">
        <f>VLOOKUP($Q113,Iedz_sk!$B$14:$R$123,5,FALSE)*D$65</f>
        <v>73186.780744019445</v>
      </c>
      <c r="V113" s="85">
        <f>VLOOKUP($Q113,Iedz_sk!$B$14:$R$123,6,FALSE)*E$65</f>
        <v>73806.888855964629</v>
      </c>
      <c r="W113" s="85">
        <f>VLOOKUP($Q113,Iedz_sk!$B$14:$R$123,7,FALSE)*F$65</f>
        <v>80665.62851154372</v>
      </c>
      <c r="X113" s="85">
        <f>VLOOKUP($Q113,Iedz_sk!$B$14:$R$123,8,FALSE)*G$65</f>
        <v>84899.234400557834</v>
      </c>
      <c r="Y113" s="91">
        <f>VLOOKUP($Q113,Iedz_sk!$B$14:$R$123,9,FALSE)*H$65</f>
        <v>88989.99811104362</v>
      </c>
      <c r="Z113" s="91">
        <f>VLOOKUP($Q113,Iedz_sk!$B$14:$R$123,10,FALSE)*I$65</f>
        <v>84658.23785779388</v>
      </c>
      <c r="AA113" s="91">
        <f>VLOOKUP($Q113,Iedz_sk!$B$14:$R$123,11,FALSE)*J$65</f>
        <v>88991.671196691183</v>
      </c>
      <c r="AB113" s="91">
        <f>VLOOKUP($Q113,Iedz_sk!$B$14:$R$123,16,FALSE)*K$65</f>
        <v>93074.117076982264</v>
      </c>
      <c r="AC113" s="162">
        <f>VLOOKUP($Q113,Iedz_sk!$B$14:$R$123,17,FALSE)*L$65</f>
        <v>96107.17997801314</v>
      </c>
      <c r="AD113" s="163">
        <f>VLOOKUP($Q113,Iedz_sk!$B$14:$Y$123,24,FALSE)*M$65</f>
        <v>111093.43655961895</v>
      </c>
    </row>
    <row r="114" spans="17:30" x14ac:dyDescent="0.35">
      <c r="Q114" s="3" t="s">
        <v>65</v>
      </c>
      <c r="R114" s="3" t="s">
        <v>296</v>
      </c>
      <c r="S114" s="85">
        <f>VLOOKUP($Q114,Iedz_sk!$B$14:$R$123,3,FALSE)*B$65</f>
        <v>51260.973983118551</v>
      </c>
      <c r="T114" s="85">
        <f>VLOOKUP($Q114,Iedz_sk!$B$14:$R$123,4,FALSE)*C$65</f>
        <v>51903.108445291822</v>
      </c>
      <c r="U114" s="85">
        <f>VLOOKUP($Q114,Iedz_sk!$B$14:$R$123,5,FALSE)*D$65</f>
        <v>53789.098601571495</v>
      </c>
      <c r="V114" s="85">
        <f>VLOOKUP($Q114,Iedz_sk!$B$14:$R$123,6,FALSE)*E$65</f>
        <v>54857.8929673803</v>
      </c>
      <c r="W114" s="85">
        <f>VLOOKUP($Q114,Iedz_sk!$B$14:$R$123,7,FALSE)*F$65</f>
        <v>60379.271491632004</v>
      </c>
      <c r="X114" s="85">
        <f>VLOOKUP($Q114,Iedz_sk!$B$14:$R$123,8,FALSE)*G$65</f>
        <v>64389.606395526913</v>
      </c>
      <c r="Y114" s="91">
        <f>VLOOKUP($Q114,Iedz_sk!$B$14:$R$123,9,FALSE)*H$65</f>
        <v>68098.880928210841</v>
      </c>
      <c r="Z114" s="91">
        <f>VLOOKUP($Q114,Iedz_sk!$B$14:$R$123,10,FALSE)*I$65</f>
        <v>66154.706103547651</v>
      </c>
      <c r="AA114" s="91">
        <f>VLOOKUP($Q114,Iedz_sk!$B$14:$R$123,11,FALSE)*J$65</f>
        <v>69941.285365255855</v>
      </c>
      <c r="AB114" s="91">
        <f>VLOOKUP($Q114,Iedz_sk!$B$14:$R$123,16,FALSE)*K$65</f>
        <v>73664.223684427212</v>
      </c>
      <c r="AC114" s="162">
        <f>VLOOKUP($Q114,Iedz_sk!$B$14:$R$123,17,FALSE)*L$65</f>
        <v>76633.107364724608</v>
      </c>
      <c r="AD114" s="163">
        <f>VLOOKUP($Q114,Iedz_sk!$B$14:$Y$123,24,FALSE)*M$65</f>
        <v>94486.854905507513</v>
      </c>
    </row>
    <row r="115" spans="17:30" x14ac:dyDescent="0.35">
      <c r="Q115" s="3" t="s">
        <v>67</v>
      </c>
      <c r="R115" s="3" t="s">
        <v>296</v>
      </c>
      <c r="S115" s="85">
        <f>VLOOKUP($Q115,Iedz_sk!$B$14:$R$123,3,FALSE)*B$65</f>
        <v>58555.968784373661</v>
      </c>
      <c r="T115" s="85">
        <f>VLOOKUP($Q115,Iedz_sk!$B$14:$R$123,4,FALSE)*C$65</f>
        <v>59117.372183767839</v>
      </c>
      <c r="U115" s="85">
        <f>VLOOKUP($Q115,Iedz_sk!$B$14:$R$123,5,FALSE)*D$65</f>
        <v>61165.942024615717</v>
      </c>
      <c r="V115" s="85">
        <f>VLOOKUP($Q115,Iedz_sk!$B$14:$R$123,6,FALSE)*E$65</f>
        <v>61982.294651455661</v>
      </c>
      <c r="W115" s="85">
        <f>VLOOKUP($Q115,Iedz_sk!$B$14:$R$123,7,FALSE)*F$65</f>
        <v>68676.030315348224</v>
      </c>
      <c r="X115" s="85">
        <f>VLOOKUP($Q115,Iedz_sk!$B$14:$R$123,8,FALSE)*G$65</f>
        <v>72487.202194837446</v>
      </c>
      <c r="Y115" s="91">
        <f>VLOOKUP($Q115,Iedz_sk!$B$14:$R$123,9,FALSE)*H$65</f>
        <v>76674.109287339321</v>
      </c>
      <c r="Z115" s="91">
        <f>VLOOKUP($Q115,Iedz_sk!$B$14:$R$123,10,FALSE)*I$65</f>
        <v>72896.586980342312</v>
      </c>
      <c r="AA115" s="91">
        <f>VLOOKUP($Q115,Iedz_sk!$B$14:$R$123,11,FALSE)*J$65</f>
        <v>77194.504409809932</v>
      </c>
      <c r="AB115" s="91">
        <f>VLOOKUP($Q115,Iedz_sk!$B$14:$R$123,16,FALSE)*K$65</f>
        <v>81339.053979952805</v>
      </c>
      <c r="AC115" s="162">
        <f>VLOOKUP($Q115,Iedz_sk!$B$14:$R$123,17,FALSE)*L$65</f>
        <v>84655.823765643087</v>
      </c>
      <c r="AD115" s="163">
        <f>VLOOKUP($Q115,Iedz_sk!$B$14:$Y$123,24,FALSE)*M$65</f>
        <v>104792.12494382962</v>
      </c>
    </row>
    <row r="116" spans="17:30" x14ac:dyDescent="0.35">
      <c r="Q116" s="3" t="s">
        <v>82</v>
      </c>
      <c r="R116" s="3" t="s">
        <v>296</v>
      </c>
      <c r="S116" s="85">
        <f>VLOOKUP($Q116,Iedz_sk!$B$14:$R$123,3,FALSE)*B$65</f>
        <v>43961.718086769251</v>
      </c>
      <c r="T116" s="85">
        <f>VLOOKUP($Q116,Iedz_sk!$B$14:$R$123,4,FALSE)*C$65</f>
        <v>44354.525167715692</v>
      </c>
      <c r="U116" s="85">
        <f>VLOOKUP($Q116,Iedz_sk!$B$14:$R$123,5,FALSE)*D$65</f>
        <v>45890.613559751313</v>
      </c>
      <c r="V116" s="85">
        <f>VLOOKUP($Q116,Iedz_sk!$B$14:$R$123,6,FALSE)*E$65</f>
        <v>46705.473590636342</v>
      </c>
      <c r="W116" s="85">
        <f>VLOOKUP($Q116,Iedz_sk!$B$14:$R$123,7,FALSE)*F$65</f>
        <v>51543.412029597639</v>
      </c>
      <c r="X116" s="85">
        <f>VLOOKUP($Q116,Iedz_sk!$B$14:$R$123,8,FALSE)*G$65</f>
        <v>54774.076271904392</v>
      </c>
      <c r="Y116" s="91">
        <f>VLOOKUP($Q116,Iedz_sk!$B$14:$R$123,9,FALSE)*H$65</f>
        <v>58033.67520756225</v>
      </c>
      <c r="Z116" s="91">
        <f>VLOOKUP($Q116,Iedz_sk!$B$14:$R$123,10,FALSE)*I$65</f>
        <v>55235.790335695427</v>
      </c>
      <c r="AA116" s="91">
        <f>VLOOKUP($Q116,Iedz_sk!$B$14:$R$123,11,FALSE)*J$65</f>
        <v>58841.164107588316</v>
      </c>
      <c r="AB116" s="91">
        <f>VLOOKUP($Q116,Iedz_sk!$B$14:$R$123,16,FALSE)*K$65</f>
        <v>61978.675621562441</v>
      </c>
      <c r="AC116" s="162">
        <f>VLOOKUP($Q116,Iedz_sk!$B$14:$R$123,17,FALSE)*L$65</f>
        <v>64490.008032500285</v>
      </c>
      <c r="AD116" s="163">
        <f>VLOOKUP($Q116,Iedz_sk!$B$14:$Y$123,24,FALSE)*M$65</f>
        <v>79608.75803489385</v>
      </c>
    </row>
    <row r="117" spans="17:30" x14ac:dyDescent="0.35">
      <c r="Q117" s="3" t="s">
        <v>7</v>
      </c>
      <c r="R117" s="3" t="s">
        <v>296</v>
      </c>
      <c r="S117" s="85">
        <f>VLOOKUP($Q117,$A$20:$L$28,2,FALSE)</f>
        <v>287719</v>
      </c>
      <c r="T117" s="85">
        <f>VLOOKUP($Q117,$A$20:$L$28,3,FALSE)</f>
        <v>281803</v>
      </c>
      <c r="U117" s="85">
        <f>VLOOKUP($Q117,$A$20:$L$28,4,FALSE)</f>
        <v>290999</v>
      </c>
      <c r="V117" s="85">
        <f>VLOOKUP($Q117,$A$20:$L$28,5,FALSE)</f>
        <v>286341</v>
      </c>
      <c r="W117" s="85">
        <f>VLOOKUP($Q117,$A$20:$L$28,6,FALSE)</f>
        <v>306159</v>
      </c>
      <c r="X117" s="85">
        <f>VLOOKUP($Q117,$A$20:$L$28,7,FALSE)</f>
        <v>282665</v>
      </c>
      <c r="Y117" s="91">
        <f>VLOOKUP($Q117,$A$20:$L$28,8,FALSE)</f>
        <v>297147.18186110811</v>
      </c>
      <c r="Z117" s="91">
        <f>VLOOKUP($Q117,$A$20:$L$28,9,FALSE)</f>
        <v>286130.4380287262</v>
      </c>
      <c r="AA117" s="91">
        <f>VLOOKUP($Q117,$A$20:$L$28,10,FALSE)</f>
        <v>301295.35124424868</v>
      </c>
      <c r="AB117" s="91">
        <f>VLOOKUP($Q117,$A$20:$L$28,11,FALSE)</f>
        <v>316661.41415770532</v>
      </c>
      <c r="AC117" s="162">
        <f>VLOOKUP($Q117,$A$20:$L$28,12,FALSE)</f>
        <v>328694.54789569811</v>
      </c>
      <c r="AD117" s="163">
        <f>VLOOKUP($Q117,$A$20:$M$28,13,FALSE)</f>
        <v>397720.40295379469</v>
      </c>
    </row>
    <row r="118" spans="17:30" x14ac:dyDescent="0.35">
      <c r="Q118" s="3" t="s">
        <v>86</v>
      </c>
      <c r="R118" s="3" t="s">
        <v>296</v>
      </c>
      <c r="S118" s="85">
        <f>VLOOKUP($Q118,Iedz_sk!$B$14:$R$123,3,FALSE)*B$65</f>
        <v>118939.94736415529</v>
      </c>
      <c r="T118" s="85">
        <f>VLOOKUP($Q118,Iedz_sk!$B$14:$R$123,4,FALSE)*C$65</f>
        <v>120508.99702167721</v>
      </c>
      <c r="U118" s="85">
        <f>VLOOKUP($Q118,Iedz_sk!$B$14:$R$123,5,FALSE)*D$65</f>
        <v>125387.87300170658</v>
      </c>
      <c r="V118" s="85">
        <f>VLOOKUP($Q118,Iedz_sk!$B$14:$R$123,6,FALSE)*E$65</f>
        <v>127646.32708595697</v>
      </c>
      <c r="W118" s="85">
        <f>VLOOKUP($Q118,Iedz_sk!$B$14:$R$123,7,FALSE)*F$65</f>
        <v>139826.53256057671</v>
      </c>
      <c r="X118" s="85">
        <f>VLOOKUP($Q118,Iedz_sk!$B$14:$R$123,8,FALSE)*G$65</f>
        <v>147554.89274100529</v>
      </c>
      <c r="Y118" s="91">
        <f>VLOOKUP($Q118,Iedz_sk!$B$14:$R$123,9,FALSE)*H$65</f>
        <v>155202.83174619102</v>
      </c>
      <c r="Z118" s="91">
        <f>VLOOKUP($Q118,Iedz_sk!$B$14:$R$123,10,FALSE)*I$65</f>
        <v>150928.97270831536</v>
      </c>
      <c r="AA118" s="91">
        <f>VLOOKUP($Q118,Iedz_sk!$B$14:$R$123,11,FALSE)*J$65</f>
        <v>159426.14915337184</v>
      </c>
      <c r="AB118" s="91">
        <f>VLOOKUP($Q118,Iedz_sk!$B$14:$R$123,16,FALSE)*K$65</f>
        <v>168513.80841502876</v>
      </c>
      <c r="AC118" s="162">
        <f>VLOOKUP($Q118,Iedz_sk!$B$14:$R$123,17,FALSE)*L$65</f>
        <v>175958.39663945106</v>
      </c>
      <c r="AD118" s="163">
        <f>VLOOKUP($Q118,Iedz_sk!$B$14:$Y$123,24,FALSE)*M$65</f>
        <v>223795.02035451744</v>
      </c>
    </row>
    <row r="119" spans="17:30" x14ac:dyDescent="0.35">
      <c r="Q119" s="3" t="s">
        <v>87</v>
      </c>
      <c r="R119" s="3" t="s">
        <v>296</v>
      </c>
      <c r="S119" s="85">
        <f>VLOOKUP($Q119,Iedz_sk!$B$14:$R$123,3,FALSE)*B$65</f>
        <v>22937.474892030521</v>
      </c>
      <c r="T119" s="85">
        <f>VLOOKUP($Q119,Iedz_sk!$B$14:$R$123,4,FALSE)*C$65</f>
        <v>23182.420671810145</v>
      </c>
      <c r="U119" s="85">
        <f>VLOOKUP($Q119,Iedz_sk!$B$14:$R$123,5,FALSE)*D$65</f>
        <v>23912.421108491279</v>
      </c>
      <c r="V119" s="85">
        <f>VLOOKUP($Q119,Iedz_sk!$B$14:$R$123,6,FALSE)*E$65</f>
        <v>24275.561979899743</v>
      </c>
      <c r="W119" s="85">
        <f>VLOOKUP($Q119,Iedz_sk!$B$14:$R$123,7,FALSE)*F$65</f>
        <v>26475.232347803998</v>
      </c>
      <c r="X119" s="85">
        <f>VLOOKUP($Q119,Iedz_sk!$B$14:$R$123,8,FALSE)*G$65</f>
        <v>27900.800522642407</v>
      </c>
      <c r="Y119" s="91">
        <f>VLOOKUP($Q119,Iedz_sk!$B$14:$R$123,9,FALSE)*H$65</f>
        <v>29076.562434728134</v>
      </c>
      <c r="Z119" s="91">
        <f>VLOOKUP($Q119,Iedz_sk!$B$14:$R$123,10,FALSE)*I$65</f>
        <v>28176.665186169008</v>
      </c>
      <c r="AA119" s="91">
        <f>VLOOKUP($Q119,Iedz_sk!$B$14:$R$123,11,FALSE)*J$65</f>
        <v>29367.974844042183</v>
      </c>
      <c r="AB119" s="91">
        <f>VLOOKUP($Q119,Iedz_sk!$B$14:$R$123,16,FALSE)*K$65</f>
        <v>30911.528471379581</v>
      </c>
      <c r="AC119" s="162">
        <f>VLOOKUP($Q119,Iedz_sk!$B$14:$R$123,17,FALSE)*L$65</f>
        <v>32143.498232358485</v>
      </c>
      <c r="AD119" s="163">
        <f>VLOOKUP($Q119,Iedz_sk!$B$14:$Y$123,24,FALSE)*M$65</f>
        <v>39448.8362613477</v>
      </c>
    </row>
    <row r="120" spans="17:30" x14ac:dyDescent="0.35">
      <c r="Q120" s="3" t="s">
        <v>91</v>
      </c>
      <c r="R120" s="3" t="s">
        <v>296</v>
      </c>
      <c r="S120" s="85">
        <f>VLOOKUP($Q120,Iedz_sk!$B$14:$R$123,3,FALSE)*B$65</f>
        <v>10077.489897761876</v>
      </c>
      <c r="T120" s="85">
        <f>VLOOKUP($Q120,Iedz_sk!$B$14:$R$123,4,FALSE)*C$65</f>
        <v>10165.953353425662</v>
      </c>
      <c r="U120" s="85">
        <f>VLOOKUP($Q120,Iedz_sk!$B$14:$R$123,5,FALSE)*D$65</f>
        <v>10460.53016058711</v>
      </c>
      <c r="V120" s="85">
        <f>VLOOKUP($Q120,Iedz_sk!$B$14:$R$123,6,FALSE)*E$65</f>
        <v>10963.928229251549</v>
      </c>
      <c r="W120" s="85">
        <f>VLOOKUP($Q120,Iedz_sk!$B$14:$R$123,7,FALSE)*F$65</f>
        <v>11924.906119597321</v>
      </c>
      <c r="X120" s="85">
        <f>VLOOKUP($Q120,Iedz_sk!$B$14:$R$123,8,FALSE)*G$65</f>
        <v>12610.531309668884</v>
      </c>
      <c r="Y120" s="91">
        <f>VLOOKUP($Q120,Iedz_sk!$B$14:$R$123,9,FALSE)*H$65</f>
        <v>13252.625645925818</v>
      </c>
      <c r="Z120" s="91">
        <f>VLOOKUP($Q120,Iedz_sk!$B$14:$R$123,10,FALSE)*I$65</f>
        <v>12750.948614807301</v>
      </c>
      <c r="AA120" s="91">
        <f>VLOOKUP($Q120,Iedz_sk!$B$14:$R$123,11,FALSE)*J$65</f>
        <v>13322.775869688638</v>
      </c>
      <c r="AB120" s="91">
        <f>VLOOKUP($Q120,Iedz_sk!$B$14:$R$123,16,FALSE)*K$65</f>
        <v>14168.373347408078</v>
      </c>
      <c r="AC120" s="162">
        <f>VLOOKUP($Q120,Iedz_sk!$B$14:$R$123,17,FALSE)*L$65</f>
        <v>14887.514970776561</v>
      </c>
      <c r="AD120" s="163">
        <f>VLOOKUP($Q120,Iedz_sk!$B$14:$Y$123,24,FALSE)*M$65</f>
        <v>19888.514787335029</v>
      </c>
    </row>
    <row r="121" spans="17:30" x14ac:dyDescent="0.35">
      <c r="Q121" s="3" t="s">
        <v>112</v>
      </c>
      <c r="R121" s="3" t="s">
        <v>296</v>
      </c>
      <c r="S121" s="85">
        <f>VLOOKUP($Q121,Iedz_sk!$B$14:$R$123,3,FALSE)*B$65</f>
        <v>8807.6835596929377</v>
      </c>
      <c r="T121" s="85">
        <f>VLOOKUP($Q121,Iedz_sk!$B$14:$R$123,4,FALSE)*C$65</f>
        <v>8947.4466122318463</v>
      </c>
      <c r="U121" s="85">
        <f>VLOOKUP($Q121,Iedz_sk!$B$14:$R$123,5,FALSE)*D$65</f>
        <v>9274.1417001851296</v>
      </c>
      <c r="V121" s="85">
        <f>VLOOKUP($Q121,Iedz_sk!$B$14:$R$123,6,FALSE)*E$65</f>
        <v>9376.4776526656296</v>
      </c>
      <c r="W121" s="85">
        <f>VLOOKUP($Q121,Iedz_sk!$B$14:$R$123,7,FALSE)*F$65</f>
        <v>10410.033325923339</v>
      </c>
      <c r="X121" s="85">
        <f>VLOOKUP($Q121,Iedz_sk!$B$14:$R$123,8,FALSE)*G$65</f>
        <v>10911.612508227383</v>
      </c>
      <c r="Y121" s="91">
        <f>VLOOKUP($Q121,Iedz_sk!$B$14:$R$123,9,FALSE)*H$65</f>
        <v>11467.167541825755</v>
      </c>
      <c r="Z121" s="91">
        <f>VLOOKUP($Q121,Iedz_sk!$B$14:$R$123,10,FALSE)*I$65</f>
        <v>11175.40036642594</v>
      </c>
      <c r="AA121" s="91">
        <f>VLOOKUP($Q121,Iedz_sk!$B$14:$R$123,11,FALSE)*J$65</f>
        <v>11534.130738121357</v>
      </c>
      <c r="AB121" s="91">
        <f>VLOOKUP($Q121,Iedz_sk!$B$14:$R$123,16,FALSE)*K$65</f>
        <v>12194.845557130067</v>
      </c>
      <c r="AC121" s="162">
        <f>VLOOKUP($Q121,Iedz_sk!$B$14:$R$123,17,FALSE)*L$65</f>
        <v>12744.61508861933</v>
      </c>
      <c r="AD121" s="163">
        <f>VLOOKUP($Q121,Iedz_sk!$B$14:$Y$123,24,FALSE)*M$65</f>
        <v>16278.388340789068</v>
      </c>
    </row>
    <row r="122" spans="17:30" x14ac:dyDescent="0.35">
      <c r="Q122" s="3" t="s">
        <v>117</v>
      </c>
      <c r="R122" s="3" t="s">
        <v>296</v>
      </c>
      <c r="S122" s="85">
        <f>VLOOKUP($Q122,Iedz_sk!$B$14:$R$123,3,FALSE)*B$65</f>
        <v>23227.229358435514</v>
      </c>
      <c r="T122" s="85">
        <f>VLOOKUP($Q122,Iedz_sk!$B$14:$R$123,4,FALSE)*C$65</f>
        <v>23375.974089183892</v>
      </c>
      <c r="U122" s="85">
        <f>VLOOKUP($Q122,Iedz_sk!$B$14:$R$123,5,FALSE)*D$65</f>
        <v>23820.095158265442</v>
      </c>
      <c r="V122" s="85">
        <f>VLOOKUP($Q122,Iedz_sk!$B$14:$R$123,6,FALSE)*E$65</f>
        <v>23979.110366199966</v>
      </c>
      <c r="W122" s="85">
        <f>VLOOKUP($Q122,Iedz_sk!$B$14:$R$123,7,FALSE)*F$65</f>
        <v>26270.374105243103</v>
      </c>
      <c r="X122" s="85">
        <f>VLOOKUP($Q122,Iedz_sk!$B$14:$R$123,8,FALSE)*G$65</f>
        <v>27632.242911417979</v>
      </c>
      <c r="Y122" s="91">
        <f>VLOOKUP($Q122,Iedz_sk!$B$14:$R$123,9,FALSE)*H$65</f>
        <v>28894.244529732001</v>
      </c>
      <c r="Z122" s="91">
        <f>VLOOKUP($Q122,Iedz_sk!$B$14:$R$123,10,FALSE)*I$65</f>
        <v>27791.938288308444</v>
      </c>
      <c r="AA122" s="91">
        <f>VLOOKUP($Q122,Iedz_sk!$B$14:$R$123,11,FALSE)*J$65</f>
        <v>29433.733856232153</v>
      </c>
      <c r="AB122" s="91">
        <f>VLOOKUP($Q122,Iedz_sk!$B$14:$R$123,16,FALSE)*K$65</f>
        <v>30784.204097813257</v>
      </c>
      <c r="AC122" s="162">
        <f>VLOOKUP($Q122,Iedz_sk!$B$14:$R$123,17,FALSE)*L$65</f>
        <v>31790.107725476417</v>
      </c>
      <c r="AD122" s="163">
        <f>VLOOKUP($Q122,Iedz_sk!$B$14:$Y$123,24,FALSE)*M$65</f>
        <v>36746.711314993598</v>
      </c>
    </row>
    <row r="123" spans="17:30" x14ac:dyDescent="0.35">
      <c r="Q123" s="3" t="s">
        <v>118</v>
      </c>
      <c r="R123" s="3" t="s">
        <v>296</v>
      </c>
      <c r="S123" s="85">
        <f>VLOOKUP($Q123,Iedz_sk!$B$14:$R$123,3,FALSE)*B$65</f>
        <v>26657.410909259324</v>
      </c>
      <c r="T123" s="85">
        <f>VLOOKUP($Q123,Iedz_sk!$B$14:$R$123,4,FALSE)*C$65</f>
        <v>26890.728191038976</v>
      </c>
      <c r="U123" s="85">
        <f>VLOOKUP($Q123,Iedz_sk!$B$14:$R$123,5,FALSE)*D$65</f>
        <v>27817.808803044099</v>
      </c>
      <c r="V123" s="85">
        <f>VLOOKUP($Q123,Iedz_sk!$B$14:$R$123,6,FALSE)*E$65</f>
        <v>28229.843988443587</v>
      </c>
      <c r="W123" s="85">
        <f>VLOOKUP($Q123,Iedz_sk!$B$14:$R$123,7,FALSE)*F$65</f>
        <v>31154.625888405477</v>
      </c>
      <c r="X123" s="85">
        <f>VLOOKUP($Q123,Iedz_sk!$B$14:$R$123,8,FALSE)*G$65</f>
        <v>33038.424389544547</v>
      </c>
      <c r="Y123" s="91">
        <f>VLOOKUP($Q123,Iedz_sk!$B$14:$R$123,9,FALSE)*H$65</f>
        <v>34715.843840987844</v>
      </c>
      <c r="Z123" s="91">
        <f>VLOOKUP($Q123,Iedz_sk!$B$14:$R$123,10,FALSE)*I$65</f>
        <v>33623.909517782093</v>
      </c>
      <c r="AA123" s="91">
        <f>VLOOKUP($Q123,Iedz_sk!$B$14:$R$123,11,FALSE)*J$65</f>
        <v>35503.290681366714</v>
      </c>
      <c r="AB123" s="91">
        <f>VLOOKUP($Q123,Iedz_sk!$B$14:$R$123,16,FALSE)*K$65</f>
        <v>37440.439404808261</v>
      </c>
      <c r="AC123" s="162">
        <f>VLOOKUP($Q123,Iedz_sk!$B$14:$R$123,17,FALSE)*L$65</f>
        <v>38993.258908306692</v>
      </c>
      <c r="AD123" s="163">
        <f>VLOOKUP($Q123,Iedz_sk!$B$14:$Y$123,24,FALSE)*M$65</f>
        <v>48583.550148820061</v>
      </c>
    </row>
    <row r="124" spans="17:30" x14ac:dyDescent="0.35">
      <c r="Q124" s="3" t="s">
        <v>119</v>
      </c>
      <c r="R124" s="3" t="s">
        <v>296</v>
      </c>
      <c r="S124" s="85">
        <f>VLOOKUP($Q124,Iedz_sk!$B$14:$R$123,3,FALSE)*B$65</f>
        <v>13878.386721780309</v>
      </c>
      <c r="T124" s="85">
        <f>VLOOKUP($Q124,Iedz_sk!$B$14:$R$123,4,FALSE)*C$65</f>
        <v>13931.44710960583</v>
      </c>
      <c r="U124" s="85">
        <f>VLOOKUP($Q124,Iedz_sk!$B$14:$R$123,5,FALSE)*D$65</f>
        <v>14218.196334778597</v>
      </c>
      <c r="V124" s="85">
        <f>VLOOKUP($Q124,Iedz_sk!$B$14:$R$123,6,FALSE)*E$65</f>
        <v>14291.836666913598</v>
      </c>
      <c r="W124" s="85">
        <f>VLOOKUP($Q124,Iedz_sk!$B$14:$R$123,7,FALSE)*F$65</f>
        <v>15358.977185683891</v>
      </c>
      <c r="X124" s="85">
        <f>VLOOKUP($Q124,Iedz_sk!$B$14:$R$123,8,FALSE)*G$65</f>
        <v>16148.485927103768</v>
      </c>
      <c r="Y124" s="91">
        <f>VLOOKUP($Q124,Iedz_sk!$B$14:$R$123,9,FALSE)*H$65</f>
        <v>16641.22394912981</v>
      </c>
      <c r="Z124" s="91">
        <f>VLOOKUP($Q124,Iedz_sk!$B$14:$R$123,10,FALSE)*I$65</f>
        <v>16005.860306230814</v>
      </c>
      <c r="AA124" s="91">
        <f>VLOOKUP($Q124,Iedz_sk!$B$14:$R$123,11,FALSE)*J$65</f>
        <v>16761.972207224255</v>
      </c>
      <c r="AB124" s="91">
        <f>VLOOKUP($Q124,Iedz_sk!$B$14:$R$123,16,FALSE)*K$65</f>
        <v>17535.395670606402</v>
      </c>
      <c r="AC124" s="162">
        <f>VLOOKUP($Q124,Iedz_sk!$B$14:$R$123,17,FALSE)*L$65</f>
        <v>18120.662161399756</v>
      </c>
      <c r="AD124" s="163">
        <f>VLOOKUP($Q124,Iedz_sk!$B$14:$Y$123,24,FALSE)*M$65</f>
        <v>21026.251606852547</v>
      </c>
    </row>
    <row r="125" spans="17:30" x14ac:dyDescent="0.35">
      <c r="X125" s="41"/>
      <c r="Y125" s="41"/>
      <c r="Z125" s="41"/>
      <c r="AA125" s="41"/>
      <c r="AB125" s="41"/>
      <c r="AC125" s="41"/>
      <c r="AD125" s="41"/>
    </row>
    <row r="126" spans="17:30" x14ac:dyDescent="0.35">
      <c r="X126" s="41"/>
      <c r="Y126" s="41"/>
      <c r="Z126" s="41"/>
      <c r="AA126" s="41"/>
      <c r="AB126" s="41"/>
      <c r="AC126" s="41"/>
      <c r="AD126" s="41"/>
    </row>
    <row r="127" spans="17:30" x14ac:dyDescent="0.35">
      <c r="X127" s="41"/>
      <c r="Y127" s="41"/>
      <c r="Z127" s="41"/>
      <c r="AA127" s="41"/>
      <c r="AB127" s="41"/>
      <c r="AC127" s="41"/>
      <c r="AD127" s="41"/>
    </row>
    <row r="128" spans="17:30" x14ac:dyDescent="0.35">
      <c r="X128" s="41"/>
      <c r="Y128" s="41"/>
      <c r="Z128" s="41"/>
      <c r="AA128" s="41"/>
      <c r="AB128" s="41"/>
      <c r="AC128" s="41"/>
      <c r="AD128" s="41"/>
    </row>
    <row r="129" spans="17:30" hidden="1" x14ac:dyDescent="0.35">
      <c r="X129" s="41"/>
      <c r="Y129" s="41"/>
      <c r="Z129" s="41"/>
      <c r="AA129" s="41"/>
      <c r="AB129" s="41"/>
      <c r="AC129" s="41"/>
      <c r="AD129" s="41"/>
    </row>
    <row r="130" spans="17:30" hidden="1" x14ac:dyDescent="0.35">
      <c r="Q130" s="3"/>
      <c r="R130" s="3" t="s">
        <v>390</v>
      </c>
      <c r="S130" s="3">
        <f t="shared" ref="S130:AC130" si="47">B5</f>
        <v>22749010</v>
      </c>
      <c r="T130" s="3">
        <f t="shared" si="47"/>
        <v>23625802</v>
      </c>
      <c r="U130" s="3">
        <f t="shared" si="47"/>
        <v>24572126</v>
      </c>
      <c r="V130" s="3">
        <f t="shared" si="47"/>
        <v>25371324</v>
      </c>
      <c r="W130" s="3">
        <f t="shared" si="47"/>
        <v>26984433</v>
      </c>
      <c r="X130" s="3">
        <f t="shared" si="47"/>
        <v>29153556</v>
      </c>
      <c r="Y130" s="3">
        <f t="shared" si="47"/>
        <v>30647222</v>
      </c>
      <c r="Z130" s="3">
        <f t="shared" si="47"/>
        <v>29510975</v>
      </c>
      <c r="AA130" s="3">
        <f t="shared" si="47"/>
        <v>31075056.674999997</v>
      </c>
      <c r="AB130" s="3">
        <f t="shared" si="47"/>
        <v>32659884.565424994</v>
      </c>
      <c r="AC130" s="3">
        <f t="shared" si="47"/>
        <v>33900960.178911142</v>
      </c>
      <c r="AD130" s="41"/>
    </row>
    <row r="131" spans="17:30" hidden="1" x14ac:dyDescent="0.35">
      <c r="Q131" s="3"/>
      <c r="R131" s="3"/>
      <c r="S131" s="3"/>
      <c r="T131" s="3"/>
      <c r="U131" s="3"/>
      <c r="V131" s="3"/>
      <c r="W131" s="3"/>
      <c r="X131" s="3"/>
      <c r="Y131" s="3"/>
      <c r="Z131" s="3"/>
      <c r="AA131" s="3"/>
      <c r="AB131" s="3"/>
      <c r="AC131" s="3"/>
      <c r="AD131" s="41"/>
    </row>
    <row r="132" spans="17:30" ht="21" hidden="1" x14ac:dyDescent="0.5">
      <c r="Q132" s="144" t="s">
        <v>330</v>
      </c>
      <c r="R132" s="3"/>
      <c r="S132" s="3"/>
      <c r="T132" s="3"/>
      <c r="U132" s="3"/>
      <c r="V132" s="3"/>
      <c r="W132" s="3"/>
      <c r="X132" s="3"/>
      <c r="Y132" s="3"/>
      <c r="Z132" s="3"/>
      <c r="AA132" s="3"/>
      <c r="AB132" s="3"/>
      <c r="AC132" s="3"/>
      <c r="AD132" s="41"/>
    </row>
    <row r="133" spans="17:30" hidden="1" x14ac:dyDescent="0.35">
      <c r="R133" s="3"/>
      <c r="S133" s="19" t="str">
        <f t="shared" ref="S133:AC133" si="48">S4</f>
        <v>2013</v>
      </c>
      <c r="T133" s="19" t="str">
        <f t="shared" si="48"/>
        <v>2014</v>
      </c>
      <c r="U133" s="19" t="str">
        <f t="shared" si="48"/>
        <v>2015</v>
      </c>
      <c r="V133" s="19" t="str">
        <f t="shared" si="48"/>
        <v>2016</v>
      </c>
      <c r="W133" s="19" t="str">
        <f t="shared" si="48"/>
        <v>2017</v>
      </c>
      <c r="X133" s="19" t="str">
        <f t="shared" si="48"/>
        <v>2018</v>
      </c>
      <c r="Y133" s="19" t="str">
        <f t="shared" si="48"/>
        <v>2019</v>
      </c>
      <c r="Z133" s="19" t="str">
        <f t="shared" si="48"/>
        <v>2020</v>
      </c>
      <c r="AA133" s="19" t="str">
        <f t="shared" si="48"/>
        <v>2021</v>
      </c>
      <c r="AB133" s="19" t="str">
        <f t="shared" si="48"/>
        <v>2022</v>
      </c>
      <c r="AC133" s="19" t="str">
        <f t="shared" si="48"/>
        <v>2023</v>
      </c>
      <c r="AD133" s="41"/>
    </row>
    <row r="134" spans="17:30" hidden="1" x14ac:dyDescent="0.35">
      <c r="Q134" s="3"/>
      <c r="R134" s="3" t="s">
        <v>331</v>
      </c>
      <c r="S134" s="85">
        <v>704387.45539999998</v>
      </c>
      <c r="T134" s="85">
        <v>726012.32699999982</v>
      </c>
      <c r="U134" s="85">
        <v>798114.07250000013</v>
      </c>
      <c r="V134" s="85">
        <v>802473.58310000016</v>
      </c>
      <c r="W134" s="85">
        <v>798060</v>
      </c>
      <c r="X134" s="85">
        <v>785069.37971000001</v>
      </c>
      <c r="Y134" s="85">
        <v>840942.11399999994</v>
      </c>
      <c r="Z134" s="85">
        <v>837917.36022962502</v>
      </c>
      <c r="AA134" s="85">
        <v>852379.95240941155</v>
      </c>
      <c r="AB134" s="85">
        <v>864753.7634254389</v>
      </c>
      <c r="AC134" s="85">
        <v>874646.13336531189</v>
      </c>
      <c r="AD134" s="41"/>
    </row>
    <row r="135" spans="17:30" hidden="1" x14ac:dyDescent="0.35">
      <c r="Q135" s="11"/>
      <c r="R135" s="11" t="s">
        <v>332</v>
      </c>
      <c r="S135" s="85">
        <f>SUM(S136:S253)</f>
        <v>742533.99259973818</v>
      </c>
      <c r="T135" s="85">
        <f t="shared" ref="T135:AC135" si="49">SUM(T136:T253)</f>
        <v>752309.41200053494</v>
      </c>
      <c r="U135" s="85">
        <f t="shared" si="49"/>
        <v>768559.8310862598</v>
      </c>
      <c r="V135" s="85">
        <f t="shared" si="49"/>
        <v>781572.81845729926</v>
      </c>
      <c r="W135" s="85">
        <f t="shared" si="49"/>
        <v>804883.34574697446</v>
      </c>
      <c r="X135" s="85">
        <f>SUM(X136:X253)</f>
        <v>832111.01703138463</v>
      </c>
      <c r="Y135" s="85">
        <f t="shared" si="49"/>
        <v>868195.9685855381</v>
      </c>
      <c r="Z135" s="85">
        <f t="shared" si="49"/>
        <v>836008.08994265227</v>
      </c>
      <c r="AA135" s="85">
        <f>SUM(AA136:AA253)</f>
        <v>851223.14306336618</v>
      </c>
      <c r="AB135" s="85">
        <f t="shared" si="49"/>
        <v>863652.17635948292</v>
      </c>
      <c r="AC135" s="85">
        <f t="shared" si="49"/>
        <v>871286.23795254412</v>
      </c>
      <c r="AD135" s="41"/>
    </row>
    <row r="136" spans="17:30" hidden="1" x14ac:dyDescent="0.35">
      <c r="Q136" s="3" t="str">
        <f t="shared" ref="Q136:Q167" si="50">Q6</f>
        <v>Rīga</v>
      </c>
      <c r="R136" s="11"/>
      <c r="S136" s="85">
        <f t="shared" ref="S136:S167" si="51">((-0.0000000006)*$S$130 + 0.0461)*S6</f>
        <v>398681.70246876398</v>
      </c>
      <c r="T136" s="85">
        <f t="shared" ref="T136:T167" si="52">((-0.0000000006)*$T$130 + 0.0461)*T6</f>
        <v>406461.66445632925</v>
      </c>
      <c r="U136" s="85">
        <f t="shared" ref="U136:U167" si="53">((-0.0000000006)*$U$130 + 0.0461)*U6</f>
        <v>418908.4036452336</v>
      </c>
      <c r="V136" s="85">
        <f t="shared" ref="V136:V167" si="54">((-0.0000000006)*$V$130 + 0.0461)*V6</f>
        <v>424928.15118488326</v>
      </c>
      <c r="W136" s="85">
        <f t="shared" ref="W136:W167" si="55">((-0.0000000006)*$W$130 + 0.0461)*W6</f>
        <v>433181.63997367123</v>
      </c>
      <c r="X136" s="85">
        <f t="shared" ref="X136:X167" si="56">((-0.0000000006)*$X$130 + 0.0461)*X6</f>
        <v>469039.41532520804</v>
      </c>
      <c r="Y136" s="85">
        <f t="shared" ref="Y136:Z155" si="57">((-0.0000000006)*$Z$130 + 0.0461)*Y6</f>
        <v>489374.21186049323</v>
      </c>
      <c r="Z136" s="85">
        <f t="shared" si="57"/>
        <v>471230.64308601024</v>
      </c>
      <c r="AA136" s="85">
        <f t="shared" ref="AA136:AA167" si="58">((-0.0000000006)*$AA$130 + 0.0461)*AA6</f>
        <v>479805.44818789844</v>
      </c>
      <c r="AB136" s="85">
        <f t="shared" ref="AB136:AB167" si="59">((-0.0000000006)*$AB$130 + 0.0461)*AB6</f>
        <v>486810.05364355963</v>
      </c>
      <c r="AC136" s="85">
        <f t="shared" ref="AC136:AC167" si="60">((-0.0000000006)*$AC$130 + 0.0461)*AC6</f>
        <v>491111.92575680139</v>
      </c>
      <c r="AD136" s="41"/>
    </row>
    <row r="137" spans="17:30" hidden="1" x14ac:dyDescent="0.35">
      <c r="Q137" s="3" t="str">
        <f t="shared" si="50"/>
        <v>Alojas novads</v>
      </c>
      <c r="R137" s="3"/>
      <c r="S137" s="85">
        <f t="shared" si="51"/>
        <v>1653.2925815741053</v>
      </c>
      <c r="T137" s="85">
        <f t="shared" si="52"/>
        <v>1571.4818291363381</v>
      </c>
      <c r="U137" s="85">
        <f t="shared" si="53"/>
        <v>1609.6682952402448</v>
      </c>
      <c r="V137" s="85">
        <f t="shared" si="54"/>
        <v>1666.2353720971651</v>
      </c>
      <c r="W137" s="85">
        <f t="shared" si="55"/>
        <v>1761.9761836970929</v>
      </c>
      <c r="X137" s="85">
        <f t="shared" si="56"/>
        <v>1683.4854245931454</v>
      </c>
      <c r="Y137" s="85">
        <f t="shared" si="57"/>
        <v>1721.0948206495771</v>
      </c>
      <c r="Z137" s="85">
        <f t="shared" si="57"/>
        <v>1634.0201372999377</v>
      </c>
      <c r="AA137" s="85">
        <f t="shared" si="58"/>
        <v>1609.9180689526627</v>
      </c>
      <c r="AB137" s="85">
        <f t="shared" si="59"/>
        <v>1606.5754762055506</v>
      </c>
      <c r="AC137" s="85">
        <f t="shared" si="60"/>
        <v>1593.8885093428366</v>
      </c>
      <c r="AD137" s="41"/>
    </row>
    <row r="138" spans="17:30" hidden="1" x14ac:dyDescent="0.35">
      <c r="Q138" s="3" t="str">
        <f t="shared" si="50"/>
        <v>Ādažu novads</v>
      </c>
      <c r="R138" s="3"/>
      <c r="S138" s="85">
        <f t="shared" si="51"/>
        <v>3210.5115900030537</v>
      </c>
      <c r="T138" s="85">
        <f t="shared" si="52"/>
        <v>3162.1130044610513</v>
      </c>
      <c r="U138" s="85">
        <f t="shared" si="53"/>
        <v>3352.6171253263824</v>
      </c>
      <c r="V138" s="85">
        <f t="shared" si="54"/>
        <v>3586.7173360504326</v>
      </c>
      <c r="W138" s="85">
        <f t="shared" si="55"/>
        <v>3952.9392543340214</v>
      </c>
      <c r="X138" s="85">
        <f t="shared" si="56"/>
        <v>4023.0985018482352</v>
      </c>
      <c r="Y138" s="85">
        <f t="shared" si="57"/>
        <v>4234.3393308897039</v>
      </c>
      <c r="Z138" s="85">
        <f t="shared" si="57"/>
        <v>4081.6954283364335</v>
      </c>
      <c r="AA138" s="85">
        <f t="shared" si="58"/>
        <v>4211.4316918797085</v>
      </c>
      <c r="AB138" s="85">
        <f t="shared" si="59"/>
        <v>4368.4208176338198</v>
      </c>
      <c r="AC138" s="85">
        <f t="shared" si="60"/>
        <v>4503.606266789875</v>
      </c>
      <c r="AD138" s="41"/>
    </row>
    <row r="139" spans="17:30" hidden="1" x14ac:dyDescent="0.35">
      <c r="Q139" s="3" t="str">
        <f t="shared" si="50"/>
        <v>Babītes novads</v>
      </c>
      <c r="R139" s="3"/>
      <c r="S139" s="85">
        <f t="shared" si="51"/>
        <v>3026.9538029012147</v>
      </c>
      <c r="T139" s="85">
        <f t="shared" si="52"/>
        <v>2974.3258676460168</v>
      </c>
      <c r="U139" s="85">
        <f t="shared" si="53"/>
        <v>3154.9498586708805</v>
      </c>
      <c r="V139" s="85">
        <f t="shared" si="54"/>
        <v>3348.4889611075164</v>
      </c>
      <c r="W139" s="85">
        <f t="shared" si="55"/>
        <v>3726.1101364327865</v>
      </c>
      <c r="X139" s="85">
        <f t="shared" si="56"/>
        <v>3723.0927659271483</v>
      </c>
      <c r="Y139" s="85">
        <f t="shared" si="57"/>
        <v>3978.9630583656744</v>
      </c>
      <c r="Z139" s="85">
        <f t="shared" si="57"/>
        <v>3877.5753420257865</v>
      </c>
      <c r="AA139" s="85">
        <f t="shared" si="58"/>
        <v>4005.9178144934945</v>
      </c>
      <c r="AB139" s="85">
        <f t="shared" si="59"/>
        <v>4115.0371854434588</v>
      </c>
      <c r="AC139" s="85">
        <f t="shared" si="60"/>
        <v>4202.8033720462317</v>
      </c>
      <c r="AD139" s="41"/>
    </row>
    <row r="140" spans="17:30" hidden="1" x14ac:dyDescent="0.35">
      <c r="Q140" s="3" t="str">
        <f t="shared" si="50"/>
        <v>Baldones novads</v>
      </c>
      <c r="R140" s="3"/>
      <c r="S140" s="85">
        <f t="shared" si="51"/>
        <v>1741.0949199451757</v>
      </c>
      <c r="T140" s="85">
        <f t="shared" si="52"/>
        <v>1667.8462809230002</v>
      </c>
      <c r="U140" s="85">
        <f t="shared" si="53"/>
        <v>1749.7094369261463</v>
      </c>
      <c r="V140" s="85">
        <f t="shared" si="54"/>
        <v>1845.8438894003368</v>
      </c>
      <c r="W140" s="85">
        <f t="shared" si="55"/>
        <v>1978.4948871482716</v>
      </c>
      <c r="X140" s="85">
        <f t="shared" si="56"/>
        <v>1973.0593063874794</v>
      </c>
      <c r="Y140" s="85">
        <f t="shared" si="57"/>
        <v>2032.6018313848567</v>
      </c>
      <c r="Z140" s="85">
        <f t="shared" si="57"/>
        <v>1896.4097984224479</v>
      </c>
      <c r="AA140" s="85">
        <f t="shared" si="58"/>
        <v>1939.7375671496018</v>
      </c>
      <c r="AB140" s="85">
        <f t="shared" si="59"/>
        <v>1983.2072270578899</v>
      </c>
      <c r="AC140" s="85">
        <f t="shared" si="60"/>
        <v>2016.1130603793395</v>
      </c>
      <c r="AD140" s="41"/>
    </row>
    <row r="141" spans="17:30" hidden="1" x14ac:dyDescent="0.35">
      <c r="Q141" s="3" t="str">
        <f t="shared" si="50"/>
        <v>Carnikavas novads</v>
      </c>
      <c r="R141" s="3"/>
      <c r="S141" s="85">
        <f t="shared" si="51"/>
        <v>2156.8835295502081</v>
      </c>
      <c r="T141" s="85">
        <f t="shared" si="52"/>
        <v>2096.5445472046899</v>
      </c>
      <c r="U141" s="85">
        <f t="shared" si="53"/>
        <v>2190.7585498219737</v>
      </c>
      <c r="V141" s="85">
        <f t="shared" si="54"/>
        <v>2337.2964168219182</v>
      </c>
      <c r="W141" s="85">
        <f t="shared" si="55"/>
        <v>3068.8212152417077</v>
      </c>
      <c r="X141" s="85">
        <f t="shared" si="56"/>
        <v>3102.9370240471098</v>
      </c>
      <c r="Y141" s="85">
        <f t="shared" si="57"/>
        <v>3248.1482813900657</v>
      </c>
      <c r="Z141" s="85">
        <f t="shared" si="57"/>
        <v>3217.1868274913404</v>
      </c>
      <c r="AA141" s="85">
        <f t="shared" si="58"/>
        <v>3316.0038101657715</v>
      </c>
      <c r="AB141" s="85">
        <f t="shared" si="59"/>
        <v>3367.5735952052269</v>
      </c>
      <c r="AC141" s="85">
        <f t="shared" si="60"/>
        <v>3400.1732089985621</v>
      </c>
      <c r="AD141" s="41"/>
    </row>
    <row r="142" spans="17:30" hidden="1" x14ac:dyDescent="0.35">
      <c r="Q142" s="3" t="str">
        <f t="shared" si="50"/>
        <v>Engures novads</v>
      </c>
      <c r="R142" s="3"/>
      <c r="S142" s="85">
        <f t="shared" si="51"/>
        <v>2363.6643989023673</v>
      </c>
      <c r="T142" s="85">
        <f t="shared" si="52"/>
        <v>2261.1671523402383</v>
      </c>
      <c r="U142" s="85">
        <f t="shared" si="53"/>
        <v>2319.2100797821449</v>
      </c>
      <c r="V142" s="85">
        <f t="shared" si="54"/>
        <v>2484.1868740470927</v>
      </c>
      <c r="W142" s="85">
        <f t="shared" si="55"/>
        <v>2660.4551572019845</v>
      </c>
      <c r="X142" s="85">
        <f t="shared" si="56"/>
        <v>2546.8112833588611</v>
      </c>
      <c r="Y142" s="85">
        <f t="shared" si="57"/>
        <v>2622.160445974539</v>
      </c>
      <c r="Z142" s="85">
        <f t="shared" si="57"/>
        <v>2549.3821852535657</v>
      </c>
      <c r="AA142" s="85">
        <f t="shared" si="58"/>
        <v>2545.5939023904161</v>
      </c>
      <c r="AB142" s="85">
        <f t="shared" si="59"/>
        <v>2556.310978836088</v>
      </c>
      <c r="AC142" s="85">
        <f t="shared" si="60"/>
        <v>2551.6889461424098</v>
      </c>
      <c r="AD142" s="41"/>
    </row>
    <row r="143" spans="17:30" hidden="1" x14ac:dyDescent="0.35">
      <c r="Q143" s="3" t="str">
        <f t="shared" si="50"/>
        <v>Garkalnes novads</v>
      </c>
      <c r="R143" s="3"/>
      <c r="S143" s="85">
        <f t="shared" si="51"/>
        <v>2503.0028924042831</v>
      </c>
      <c r="T143" s="85">
        <f t="shared" si="52"/>
        <v>2414.3619218472395</v>
      </c>
      <c r="U143" s="85">
        <f t="shared" si="53"/>
        <v>2529.7546927995691</v>
      </c>
      <c r="V143" s="85">
        <f t="shared" si="54"/>
        <v>2707.4194714542605</v>
      </c>
      <c r="W143" s="85">
        <f t="shared" si="55"/>
        <v>2990.3884196037807</v>
      </c>
      <c r="X143" s="85">
        <f t="shared" si="56"/>
        <v>3001.4962356421383</v>
      </c>
      <c r="Y143" s="85">
        <f t="shared" si="57"/>
        <v>3180.86574088519</v>
      </c>
      <c r="Z143" s="85">
        <f t="shared" si="57"/>
        <v>3182.2250826042227</v>
      </c>
      <c r="AA143" s="85">
        <f t="shared" si="58"/>
        <v>3356.9641150174434</v>
      </c>
      <c r="AB143" s="85">
        <f t="shared" si="59"/>
        <v>3432.4601047360916</v>
      </c>
      <c r="AC143" s="85">
        <f t="shared" si="60"/>
        <v>3489.3135790262513</v>
      </c>
      <c r="AD143" s="41"/>
    </row>
    <row r="144" spans="17:30" hidden="1" x14ac:dyDescent="0.35">
      <c r="Q144" s="3" t="str">
        <f t="shared" si="50"/>
        <v>Ikšķiles novads</v>
      </c>
      <c r="R144" s="3"/>
      <c r="S144" s="85">
        <f t="shared" si="51"/>
        <v>2854.8484947173411</v>
      </c>
      <c r="T144" s="85">
        <f t="shared" si="52"/>
        <v>2833.4855150347416</v>
      </c>
      <c r="U144" s="85">
        <f t="shared" si="53"/>
        <v>2998.4901003735285</v>
      </c>
      <c r="V144" s="85">
        <f t="shared" si="54"/>
        <v>3193.0781757370301</v>
      </c>
      <c r="W144" s="85">
        <f t="shared" si="55"/>
        <v>3463.1945679563551</v>
      </c>
      <c r="X144" s="85">
        <f t="shared" si="56"/>
        <v>3468.7713566990815</v>
      </c>
      <c r="Y144" s="85">
        <f t="shared" si="57"/>
        <v>3608.7232222172984</v>
      </c>
      <c r="Z144" s="85">
        <f t="shared" si="57"/>
        <v>3450.2651267387923</v>
      </c>
      <c r="AA144" s="85">
        <f t="shared" si="58"/>
        <v>3550.0118126661919</v>
      </c>
      <c r="AB144" s="85">
        <f t="shared" si="59"/>
        <v>3651.769257061082</v>
      </c>
      <c r="AC144" s="85">
        <f t="shared" si="60"/>
        <v>3734.7247212012471</v>
      </c>
      <c r="AD144" s="41"/>
    </row>
    <row r="145" spans="17:30" hidden="1" x14ac:dyDescent="0.35">
      <c r="Q145" s="3" t="str">
        <f t="shared" si="50"/>
        <v>Inčukalna novads</v>
      </c>
      <c r="R145" s="3"/>
      <c r="S145" s="85">
        <f t="shared" si="51"/>
        <v>2499.185399431628</v>
      </c>
      <c r="T145" s="85">
        <f t="shared" si="52"/>
        <v>2393.0505527021123</v>
      </c>
      <c r="U145" s="85">
        <f t="shared" si="53"/>
        <v>2485.00591419189</v>
      </c>
      <c r="V145" s="85">
        <f t="shared" si="54"/>
        <v>2617.1039931139558</v>
      </c>
      <c r="W145" s="85">
        <f t="shared" si="55"/>
        <v>2797.8046068402327</v>
      </c>
      <c r="X145" s="85">
        <f t="shared" si="56"/>
        <v>2718.7570168963662</v>
      </c>
      <c r="Y145" s="85">
        <f t="shared" si="57"/>
        <v>2839.9923174433625</v>
      </c>
      <c r="Z145" s="85">
        <f t="shared" si="57"/>
        <v>2676.5158030249036</v>
      </c>
      <c r="AA145" s="85">
        <f t="shared" si="58"/>
        <v>2714.7777702560161</v>
      </c>
      <c r="AB145" s="85">
        <f t="shared" si="59"/>
        <v>2736.1082342959148</v>
      </c>
      <c r="AC145" s="85">
        <f t="shared" si="60"/>
        <v>2741.70833574876</v>
      </c>
      <c r="AD145" s="41"/>
    </row>
    <row r="146" spans="17:30" hidden="1" x14ac:dyDescent="0.35">
      <c r="Q146" s="3" t="str">
        <f t="shared" si="50"/>
        <v>Jaunpils novads</v>
      </c>
      <c r="R146" s="3"/>
      <c r="S146" s="85">
        <f t="shared" si="51"/>
        <v>782.90418380871131</v>
      </c>
      <c r="T146" s="85">
        <f t="shared" si="52"/>
        <v>754.85487232885419</v>
      </c>
      <c r="U146" s="85">
        <f t="shared" si="53"/>
        <v>774.57238366960587</v>
      </c>
      <c r="V146" s="85">
        <f t="shared" si="54"/>
        <v>796.8210881495545</v>
      </c>
      <c r="W146" s="85">
        <f t="shared" si="55"/>
        <v>839.56231950457084</v>
      </c>
      <c r="X146" s="85">
        <f t="shared" si="56"/>
        <v>805.41108240684889</v>
      </c>
      <c r="Y146" s="85">
        <f t="shared" si="57"/>
        <v>809.6208465172308</v>
      </c>
      <c r="Z146" s="85">
        <f t="shared" si="57"/>
        <v>776.2213662816647</v>
      </c>
      <c r="AA146" s="85">
        <f t="shared" si="58"/>
        <v>779.31432187354551</v>
      </c>
      <c r="AB146" s="85">
        <f t="shared" si="59"/>
        <v>782.26305903690843</v>
      </c>
      <c r="AC146" s="85">
        <f t="shared" si="60"/>
        <v>780.62019513959876</v>
      </c>
      <c r="AD146" s="41"/>
    </row>
    <row r="147" spans="17:30" hidden="1" x14ac:dyDescent="0.35">
      <c r="Q147" s="3" t="str">
        <f t="shared" si="50"/>
        <v>Jūrmala</v>
      </c>
      <c r="R147" s="3"/>
      <c r="S147" s="85">
        <f t="shared" si="51"/>
        <v>10219.243710698</v>
      </c>
      <c r="T147" s="85">
        <f t="shared" si="52"/>
        <v>11211.316361221601</v>
      </c>
      <c r="U147" s="85">
        <f t="shared" si="53"/>
        <v>11119.09447224</v>
      </c>
      <c r="V147" s="85">
        <f t="shared" si="54"/>
        <v>10638.0618909568</v>
      </c>
      <c r="W147" s="85">
        <f t="shared" si="55"/>
        <v>12359.317013485201</v>
      </c>
      <c r="X147" s="85">
        <f t="shared" si="56"/>
        <v>12053.781468308</v>
      </c>
      <c r="Y147" s="85">
        <f t="shared" si="57"/>
        <v>12576.362696303278</v>
      </c>
      <c r="Z147" s="85">
        <f t="shared" si="57"/>
        <v>12110.093538707641</v>
      </c>
      <c r="AA147" s="85">
        <f t="shared" si="58"/>
        <v>12330.456313038299</v>
      </c>
      <c r="AB147" s="85">
        <f t="shared" si="59"/>
        <v>12510.466735777967</v>
      </c>
      <c r="AC147" s="85">
        <f t="shared" si="60"/>
        <v>12621.019974297744</v>
      </c>
      <c r="AD147" s="41"/>
    </row>
    <row r="148" spans="17:30" hidden="1" x14ac:dyDescent="0.35">
      <c r="Q148" s="3" t="str">
        <f t="shared" si="50"/>
        <v>Kandavas novads</v>
      </c>
      <c r="R148" s="3"/>
      <c r="S148" s="85">
        <f t="shared" si="51"/>
        <v>2802.0398419289436</v>
      </c>
      <c r="T148" s="85">
        <f t="shared" si="52"/>
        <v>2678.4375829933811</v>
      </c>
      <c r="U148" s="85">
        <f t="shared" si="53"/>
        <v>2737.7238365446087</v>
      </c>
      <c r="V148" s="85">
        <f t="shared" si="54"/>
        <v>2839.6549642694986</v>
      </c>
      <c r="W148" s="85">
        <f t="shared" si="55"/>
        <v>2977.1321724537083</v>
      </c>
      <c r="X148" s="85">
        <f t="shared" si="56"/>
        <v>2824.8741537029855</v>
      </c>
      <c r="Y148" s="85">
        <f t="shared" si="57"/>
        <v>2848.9137592782631</v>
      </c>
      <c r="Z148" s="85">
        <f t="shared" si="57"/>
        <v>2667.3339306303064</v>
      </c>
      <c r="AA148" s="85">
        <f t="shared" si="58"/>
        <v>2657.7895200276039</v>
      </c>
      <c r="AB148" s="85">
        <f t="shared" si="59"/>
        <v>2657.8094294988937</v>
      </c>
      <c r="AC148" s="85">
        <f t="shared" si="60"/>
        <v>2642.2966473639704</v>
      </c>
      <c r="AD148" s="41"/>
    </row>
    <row r="149" spans="17:30" hidden="1" x14ac:dyDescent="0.35">
      <c r="Q149" s="3" t="str">
        <f t="shared" si="50"/>
        <v>Krimuldas novads</v>
      </c>
      <c r="R149" s="3"/>
      <c r="S149" s="85">
        <f t="shared" si="51"/>
        <v>1664.426936077683</v>
      </c>
      <c r="T149" s="85">
        <f t="shared" si="52"/>
        <v>1598.6615463069352</v>
      </c>
      <c r="U149" s="85">
        <f t="shared" si="53"/>
        <v>1664.0750836193652</v>
      </c>
      <c r="V149" s="85">
        <f t="shared" si="54"/>
        <v>1741.2142597759084</v>
      </c>
      <c r="W149" s="85">
        <f t="shared" si="55"/>
        <v>1829.730335797462</v>
      </c>
      <c r="X149" s="85">
        <f t="shared" si="56"/>
        <v>1757.2278416960503</v>
      </c>
      <c r="Y149" s="85">
        <f t="shared" si="57"/>
        <v>1805.8485180811329</v>
      </c>
      <c r="Z149" s="85">
        <f t="shared" si="57"/>
        <v>1727.9577548754257</v>
      </c>
      <c r="AA149" s="85">
        <f t="shared" si="58"/>
        <v>1721.4013334619951</v>
      </c>
      <c r="AB149" s="85">
        <f t="shared" si="59"/>
        <v>1726.9236391343056</v>
      </c>
      <c r="AC149" s="85">
        <f t="shared" si="60"/>
        <v>1721.9131560081187</v>
      </c>
      <c r="AD149" s="41"/>
    </row>
    <row r="150" spans="17:30" hidden="1" x14ac:dyDescent="0.35">
      <c r="Q150" s="3" t="str">
        <f t="shared" si="50"/>
        <v>Ķeguma novads</v>
      </c>
      <c r="R150" s="3"/>
      <c r="S150" s="85">
        <f t="shared" si="51"/>
        <v>1797.4029412918403</v>
      </c>
      <c r="T150" s="85">
        <f t="shared" si="52"/>
        <v>1725.2943194881259</v>
      </c>
      <c r="U150" s="85">
        <f t="shared" si="53"/>
        <v>1785.4440730804797</v>
      </c>
      <c r="V150" s="85">
        <f t="shared" si="54"/>
        <v>1856.7499094263358</v>
      </c>
      <c r="W150" s="85">
        <f t="shared" si="55"/>
        <v>1998.3792578733799</v>
      </c>
      <c r="X150" s="85">
        <f t="shared" si="56"/>
        <v>1933.130485419565</v>
      </c>
      <c r="Y150" s="85">
        <f t="shared" si="57"/>
        <v>1986.5077152378701</v>
      </c>
      <c r="Z150" s="85">
        <f t="shared" si="57"/>
        <v>1884.0495855835677</v>
      </c>
      <c r="AA150" s="85">
        <f t="shared" si="58"/>
        <v>1892.3660841472338</v>
      </c>
      <c r="AB150" s="85">
        <f t="shared" si="59"/>
        <v>1904.5459277942155</v>
      </c>
      <c r="AC150" s="85">
        <f t="shared" si="60"/>
        <v>1906.0632208389825</v>
      </c>
      <c r="AD150" s="41"/>
    </row>
    <row r="151" spans="17:30" hidden="1" x14ac:dyDescent="0.35">
      <c r="Q151" s="3" t="str">
        <f t="shared" si="50"/>
        <v>Ķekavas novads</v>
      </c>
      <c r="R151" s="3"/>
      <c r="S151" s="85">
        <f t="shared" si="51"/>
        <v>7105.9450441833333</v>
      </c>
      <c r="T151" s="85">
        <f t="shared" si="52"/>
        <v>6898.3975341509658</v>
      </c>
      <c r="U151" s="85">
        <f t="shared" si="53"/>
        <v>7285.3587042573481</v>
      </c>
      <c r="V151" s="85">
        <f t="shared" si="54"/>
        <v>7751.7945466046267</v>
      </c>
      <c r="W151" s="85">
        <f t="shared" si="55"/>
        <v>8336.3383119578866</v>
      </c>
      <c r="X151" s="85">
        <f t="shared" si="56"/>
        <v>8288.6476823665071</v>
      </c>
      <c r="Y151" s="85">
        <f t="shared" si="57"/>
        <v>8809.1803584781155</v>
      </c>
      <c r="Z151" s="85">
        <f t="shared" si="57"/>
        <v>8570.5715824794006</v>
      </c>
      <c r="AA151" s="85">
        <f t="shared" si="58"/>
        <v>8772.9849461002286</v>
      </c>
      <c r="AB151" s="85">
        <f t="shared" si="59"/>
        <v>8939.1135476599447</v>
      </c>
      <c r="AC151" s="85">
        <f t="shared" si="60"/>
        <v>9056.3681285744424</v>
      </c>
      <c r="AD151" s="41"/>
    </row>
    <row r="152" spans="17:30" hidden="1" x14ac:dyDescent="0.35">
      <c r="Q152" s="3" t="str">
        <f t="shared" si="50"/>
        <v>Lielvārdes novads</v>
      </c>
      <c r="R152" s="3"/>
      <c r="S152" s="85">
        <f t="shared" si="51"/>
        <v>3270.9552287367619</v>
      </c>
      <c r="T152" s="85">
        <f t="shared" si="52"/>
        <v>3142.34593742789</v>
      </c>
      <c r="U152" s="85">
        <f t="shared" si="53"/>
        <v>3235.4332734328927</v>
      </c>
      <c r="V152" s="85">
        <f t="shared" si="54"/>
        <v>3393.8171068405745</v>
      </c>
      <c r="W152" s="85">
        <f t="shared" si="55"/>
        <v>3593.1794358445627</v>
      </c>
      <c r="X152" s="85">
        <f t="shared" si="56"/>
        <v>3501.8655146184342</v>
      </c>
      <c r="Y152" s="85">
        <f t="shared" si="57"/>
        <v>3584.5609839144431</v>
      </c>
      <c r="Z152" s="85">
        <f t="shared" si="57"/>
        <v>3398.7053817537499</v>
      </c>
      <c r="AA152" s="85">
        <f t="shared" si="58"/>
        <v>3400.4176558166087</v>
      </c>
      <c r="AB152" s="85">
        <f t="shared" si="59"/>
        <v>3425.9352043363397</v>
      </c>
      <c r="AC152" s="85">
        <f t="shared" si="60"/>
        <v>3432.0876624652656</v>
      </c>
      <c r="AD152" s="41"/>
    </row>
    <row r="153" spans="17:30" hidden="1" x14ac:dyDescent="0.35">
      <c r="Q153" s="3" t="str">
        <f t="shared" si="50"/>
        <v>Limbažu novads</v>
      </c>
      <c r="R153" s="3"/>
      <c r="S153" s="85">
        <f t="shared" si="51"/>
        <v>5566.5410029601098</v>
      </c>
      <c r="T153" s="85">
        <f t="shared" si="52"/>
        <v>5331.548611350524</v>
      </c>
      <c r="U153" s="85">
        <f t="shared" si="53"/>
        <v>5504.4217024035415</v>
      </c>
      <c r="V153" s="85">
        <f t="shared" si="54"/>
        <v>5737.9297861787427</v>
      </c>
      <c r="W153" s="85">
        <f t="shared" si="55"/>
        <v>6101.9242089957206</v>
      </c>
      <c r="X153" s="85">
        <f t="shared" si="56"/>
        <v>5867.7380867443135</v>
      </c>
      <c r="Y153" s="85">
        <f t="shared" si="57"/>
        <v>6059.5176396131219</v>
      </c>
      <c r="Z153" s="85">
        <f t="shared" si="57"/>
        <v>5923.0139923913021</v>
      </c>
      <c r="AA153" s="85">
        <f t="shared" si="58"/>
        <v>5963.8203864034031</v>
      </c>
      <c r="AB153" s="85">
        <f t="shared" si="59"/>
        <v>5959.7715262399497</v>
      </c>
      <c r="AC153" s="85">
        <f t="shared" si="60"/>
        <v>5919.9477016742685</v>
      </c>
      <c r="AD153" s="41"/>
    </row>
    <row r="154" spans="17:30" hidden="1" x14ac:dyDescent="0.35">
      <c r="Q154" s="3" t="str">
        <f t="shared" si="50"/>
        <v>Mālpils novads</v>
      </c>
      <c r="R154" s="3"/>
      <c r="S154" s="85">
        <f t="shared" si="51"/>
        <v>1128.7054222483982</v>
      </c>
      <c r="T154" s="85">
        <f t="shared" si="52"/>
        <v>1087.8064076686678</v>
      </c>
      <c r="U154" s="85">
        <f t="shared" si="53"/>
        <v>1131.9187452129404</v>
      </c>
      <c r="V154" s="85">
        <f t="shared" si="54"/>
        <v>1182.6215465692703</v>
      </c>
      <c r="W154" s="85">
        <f t="shared" si="55"/>
        <v>1256.0294174693383</v>
      </c>
      <c r="X154" s="85">
        <f t="shared" si="56"/>
        <v>1227.0018767707734</v>
      </c>
      <c r="Y154" s="85">
        <f t="shared" si="57"/>
        <v>1245.2845894548775</v>
      </c>
      <c r="Z154" s="85">
        <f t="shared" si="57"/>
        <v>1191.1713687297795</v>
      </c>
      <c r="AA154" s="85">
        <f t="shared" si="58"/>
        <v>1183.9308984952768</v>
      </c>
      <c r="AB154" s="85">
        <f t="shared" si="59"/>
        <v>1194.7817620878823</v>
      </c>
      <c r="AC154" s="85">
        <f t="shared" si="60"/>
        <v>1198.8095853929551</v>
      </c>
      <c r="AD154" s="41"/>
    </row>
    <row r="155" spans="17:30" hidden="1" x14ac:dyDescent="0.35">
      <c r="Q155" s="3" t="str">
        <f t="shared" si="50"/>
        <v>Mārupes novads</v>
      </c>
      <c r="R155" s="3"/>
      <c r="S155" s="85">
        <f t="shared" si="51"/>
        <v>5299.6346192886313</v>
      </c>
      <c r="T155" s="85">
        <f t="shared" si="52"/>
        <v>5234.5664387190754</v>
      </c>
      <c r="U155" s="85">
        <f t="shared" si="53"/>
        <v>5711.425045171437</v>
      </c>
      <c r="V155" s="85">
        <f t="shared" si="54"/>
        <v>6346.962842005626</v>
      </c>
      <c r="W155" s="85">
        <f t="shared" si="55"/>
        <v>6819.9709296246301</v>
      </c>
      <c r="X155" s="85">
        <f t="shared" si="56"/>
        <v>6998.6949617274013</v>
      </c>
      <c r="Y155" s="85">
        <f t="shared" si="57"/>
        <v>7437.1369496190255</v>
      </c>
      <c r="Z155" s="85">
        <f t="shared" si="57"/>
        <v>7324.6621283202958</v>
      </c>
      <c r="AA155" s="85">
        <f t="shared" si="58"/>
        <v>7685.2217198653989</v>
      </c>
      <c r="AB155" s="85">
        <f t="shared" si="59"/>
        <v>8110.0887024248159</v>
      </c>
      <c r="AC155" s="85">
        <f t="shared" si="60"/>
        <v>8499.1491077017672</v>
      </c>
      <c r="AD155" s="41"/>
    </row>
    <row r="156" spans="17:30" hidden="1" x14ac:dyDescent="0.35">
      <c r="Q156" s="3" t="str">
        <f t="shared" si="50"/>
        <v>Ogres novads</v>
      </c>
      <c r="R156" s="3"/>
      <c r="S156" s="85">
        <f t="shared" si="51"/>
        <v>11303.278567617766</v>
      </c>
      <c r="T156" s="85">
        <f t="shared" si="52"/>
        <v>10778.302160253694</v>
      </c>
      <c r="U156" s="85">
        <f t="shared" si="53"/>
        <v>11132.465929881533</v>
      </c>
      <c r="V156" s="85">
        <f t="shared" si="54"/>
        <v>11580.830015107726</v>
      </c>
      <c r="W156" s="85">
        <f t="shared" si="55"/>
        <v>12316.526518767056</v>
      </c>
      <c r="X156" s="85">
        <f t="shared" si="56"/>
        <v>11900.587243977572</v>
      </c>
      <c r="Y156" s="85">
        <f t="shared" ref="Y156:Z175" si="61">((-0.0000000006)*$Z$130 + 0.0461)*Y26</f>
        <v>12265.867342758984</v>
      </c>
      <c r="Z156" s="85">
        <f t="shared" si="61"/>
        <v>11628.135089880061</v>
      </c>
      <c r="AA156" s="85">
        <f t="shared" si="58"/>
        <v>11679.029531185355</v>
      </c>
      <c r="AB156" s="85">
        <f t="shared" si="59"/>
        <v>11710.38374522119</v>
      </c>
      <c r="AC156" s="85">
        <f t="shared" si="60"/>
        <v>11672.619647247195</v>
      </c>
      <c r="AD156" s="41"/>
    </row>
    <row r="157" spans="17:30" hidden="1" x14ac:dyDescent="0.35">
      <c r="Q157" s="3" t="str">
        <f t="shared" si="50"/>
        <v>Olaines novads</v>
      </c>
      <c r="R157" s="3"/>
      <c r="S157" s="85">
        <f t="shared" si="51"/>
        <v>6314.4515011861486</v>
      </c>
      <c r="T157" s="85">
        <f t="shared" si="52"/>
        <v>6090.7275295928821</v>
      </c>
      <c r="U157" s="85">
        <f t="shared" si="53"/>
        <v>6347.88788910943</v>
      </c>
      <c r="V157" s="85">
        <f t="shared" si="54"/>
        <v>6708.9063816184689</v>
      </c>
      <c r="W157" s="85">
        <f t="shared" si="55"/>
        <v>7175.6802281515675</v>
      </c>
      <c r="X157" s="85">
        <f t="shared" si="56"/>
        <v>6981.7881636599059</v>
      </c>
      <c r="Y157" s="85">
        <f t="shared" si="61"/>
        <v>7248.299764113629</v>
      </c>
      <c r="Z157" s="85">
        <f t="shared" si="61"/>
        <v>6890.2889342682265</v>
      </c>
      <c r="AA157" s="85">
        <f t="shared" si="58"/>
        <v>7018.4591921929677</v>
      </c>
      <c r="AB157" s="85">
        <f t="shared" si="59"/>
        <v>7066.4671329311832</v>
      </c>
      <c r="AC157" s="85">
        <f t="shared" si="60"/>
        <v>7073.6368528556777</v>
      </c>
      <c r="AD157" s="41"/>
    </row>
    <row r="158" spans="17:30" hidden="1" x14ac:dyDescent="0.35">
      <c r="Q158" s="3" t="str">
        <f t="shared" si="50"/>
        <v>Ropažu novads</v>
      </c>
      <c r="R158" s="3"/>
      <c r="S158" s="85">
        <f t="shared" si="51"/>
        <v>2181.6972338724672</v>
      </c>
      <c r="T158" s="85">
        <f t="shared" si="52"/>
        <v>2084.1901303089639</v>
      </c>
      <c r="U158" s="85">
        <f t="shared" si="53"/>
        <v>2156.955515621928</v>
      </c>
      <c r="V158" s="85">
        <f t="shared" si="54"/>
        <v>2259.9318372624875</v>
      </c>
      <c r="W158" s="85">
        <f t="shared" si="55"/>
        <v>2445.4093701008137</v>
      </c>
      <c r="X158" s="85">
        <f t="shared" si="56"/>
        <v>2446.0899331695277</v>
      </c>
      <c r="Y158" s="85">
        <f t="shared" si="61"/>
        <v>2540.3805624879501</v>
      </c>
      <c r="Z158" s="85">
        <f t="shared" si="61"/>
        <v>2402.4722269400208</v>
      </c>
      <c r="AA158" s="85">
        <f t="shared" si="58"/>
        <v>2434.8229910089381</v>
      </c>
      <c r="AB158" s="85">
        <f t="shared" si="59"/>
        <v>2481.6371187055956</v>
      </c>
      <c r="AC158" s="85">
        <f t="shared" si="60"/>
        <v>2515.0056662956245</v>
      </c>
      <c r="AD158" s="41"/>
    </row>
    <row r="159" spans="17:30" hidden="1" x14ac:dyDescent="0.35">
      <c r="Q159" s="3" t="str">
        <f t="shared" si="50"/>
        <v>Salacgrīvas novads</v>
      </c>
      <c r="R159" s="3"/>
      <c r="S159" s="85">
        <f t="shared" si="51"/>
        <v>2602.8939585220951</v>
      </c>
      <c r="T159" s="85">
        <f t="shared" si="52"/>
        <v>2479.2226105498007</v>
      </c>
      <c r="U159" s="85">
        <f t="shared" si="53"/>
        <v>2562.2699923634218</v>
      </c>
      <c r="V159" s="85">
        <f t="shared" si="54"/>
        <v>2666.8627094825765</v>
      </c>
      <c r="W159" s="85">
        <f t="shared" si="55"/>
        <v>2788.9671087401844</v>
      </c>
      <c r="X159" s="85">
        <f t="shared" si="56"/>
        <v>2670.1949373407947</v>
      </c>
      <c r="Y159" s="85">
        <f t="shared" si="61"/>
        <v>2686.8408992775685</v>
      </c>
      <c r="Z159" s="85">
        <f t="shared" si="61"/>
        <v>2583.9907812024298</v>
      </c>
      <c r="AA159" s="85">
        <f t="shared" si="58"/>
        <v>2593.6777385206392</v>
      </c>
      <c r="AB159" s="85">
        <f t="shared" si="59"/>
        <v>2590.7479531681115</v>
      </c>
      <c r="AC159" s="85">
        <f t="shared" si="60"/>
        <v>2572.2315828566102</v>
      </c>
      <c r="AD159" s="41"/>
    </row>
    <row r="160" spans="17:30" hidden="1" x14ac:dyDescent="0.35">
      <c r="Q160" s="3" t="str">
        <f t="shared" si="50"/>
        <v>Salaspils novads</v>
      </c>
      <c r="R160" s="3"/>
      <c r="S160" s="85">
        <f t="shared" si="51"/>
        <v>7098.6281826524109</v>
      </c>
      <c r="T160" s="85">
        <f t="shared" si="52"/>
        <v>6822.1090098198574</v>
      </c>
      <c r="U160" s="85">
        <f t="shared" si="53"/>
        <v>7149.5027001390717</v>
      </c>
      <c r="V160" s="85">
        <f t="shared" si="54"/>
        <v>7569.1187111691434</v>
      </c>
      <c r="W160" s="85">
        <f t="shared" si="55"/>
        <v>8208.1945895071894</v>
      </c>
      <c r="X160" s="85">
        <f t="shared" si="56"/>
        <v>8113.4644768586313</v>
      </c>
      <c r="Y160" s="85">
        <f t="shared" si="61"/>
        <v>8422.9562723755425</v>
      </c>
      <c r="Z160" s="85">
        <f t="shared" si="61"/>
        <v>8029.9005580129642</v>
      </c>
      <c r="AA160" s="85">
        <f t="shared" si="58"/>
        <v>8145.0456638959049</v>
      </c>
      <c r="AB160" s="85">
        <f t="shared" si="59"/>
        <v>8343.535138949268</v>
      </c>
      <c r="AC160" s="85">
        <f t="shared" si="60"/>
        <v>8497.6817765078958</v>
      </c>
      <c r="AD160" s="41"/>
    </row>
    <row r="161" spans="17:30" hidden="1" x14ac:dyDescent="0.35">
      <c r="Q161" s="3" t="str">
        <f t="shared" si="50"/>
        <v>Saulkrastu novads</v>
      </c>
      <c r="R161" s="3"/>
      <c r="S161" s="85">
        <f t="shared" si="51"/>
        <v>1862.6184462413673</v>
      </c>
      <c r="T161" s="85">
        <f t="shared" si="52"/>
        <v>1783.0512184756444</v>
      </c>
      <c r="U161" s="85">
        <f t="shared" si="53"/>
        <v>1851.1185395262817</v>
      </c>
      <c r="V161" s="85">
        <f t="shared" si="54"/>
        <v>1939.2266858729533</v>
      </c>
      <c r="W161" s="85">
        <f t="shared" si="55"/>
        <v>2059.8735154862147</v>
      </c>
      <c r="X161" s="85">
        <f t="shared" si="56"/>
        <v>2068.7445890673462</v>
      </c>
      <c r="Y161" s="85">
        <f t="shared" si="61"/>
        <v>2428.1190860654506</v>
      </c>
      <c r="Z161" s="85">
        <f t="shared" si="61"/>
        <v>2426.4863547412733</v>
      </c>
      <c r="AA161" s="85">
        <f t="shared" si="58"/>
        <v>2521.3738960433402</v>
      </c>
      <c r="AB161" s="85">
        <f t="shared" si="59"/>
        <v>2519.6990377041475</v>
      </c>
      <c r="AC161" s="85">
        <f t="shared" si="60"/>
        <v>2502.9001839461853</v>
      </c>
      <c r="AD161" s="41"/>
    </row>
    <row r="162" spans="17:30" hidden="1" x14ac:dyDescent="0.35">
      <c r="Q162" s="3" t="str">
        <f t="shared" si="50"/>
        <v>Sējas novads</v>
      </c>
      <c r="R162" s="3"/>
      <c r="S162" s="85">
        <f t="shared" si="51"/>
        <v>714.50743471530507</v>
      </c>
      <c r="T162" s="85">
        <f t="shared" si="52"/>
        <v>686.5967189799685</v>
      </c>
      <c r="U162" s="85">
        <f t="shared" si="53"/>
        <v>717.59012601810127</v>
      </c>
      <c r="V162" s="85">
        <f t="shared" si="54"/>
        <v>764.10302807155745</v>
      </c>
      <c r="W162" s="85">
        <f t="shared" si="55"/>
        <v>804.58055619188042</v>
      </c>
      <c r="X162" s="85">
        <f t="shared" si="56"/>
        <v>785.98625058462028</v>
      </c>
      <c r="Y162" s="85">
        <f t="shared" si="61"/>
        <v>791.03450936118782</v>
      </c>
      <c r="Z162" s="85">
        <f t="shared" si="61"/>
        <v>763.86115344278471</v>
      </c>
      <c r="AA162" s="85">
        <f t="shared" si="58"/>
        <v>766.13578900822506</v>
      </c>
      <c r="AB162" s="85">
        <f t="shared" si="59"/>
        <v>773.92568630389223</v>
      </c>
      <c r="AC162" s="85">
        <f t="shared" si="60"/>
        <v>777.68553275185582</v>
      </c>
      <c r="AD162" s="41"/>
    </row>
    <row r="163" spans="17:30" hidden="1" x14ac:dyDescent="0.35">
      <c r="Q163" s="3" t="str">
        <f t="shared" si="50"/>
        <v>Siguldas novads</v>
      </c>
      <c r="R163" s="3"/>
      <c r="S163" s="85">
        <f t="shared" si="51"/>
        <v>5425.6118873862542</v>
      </c>
      <c r="T163" s="85">
        <f t="shared" si="52"/>
        <v>5286.7638501035181</v>
      </c>
      <c r="U163" s="85">
        <f t="shared" si="53"/>
        <v>5576.5348420303053</v>
      </c>
      <c r="V163" s="85">
        <f t="shared" si="54"/>
        <v>5908.6771622107899</v>
      </c>
      <c r="W163" s="85">
        <f t="shared" si="55"/>
        <v>6354.8975921095989</v>
      </c>
      <c r="X163" s="85">
        <f t="shared" si="56"/>
        <v>6236.4501722588384</v>
      </c>
      <c r="Y163" s="85">
        <f t="shared" si="61"/>
        <v>6602.2386845695755</v>
      </c>
      <c r="Z163" s="85">
        <f t="shared" si="61"/>
        <v>6375.7509312325647</v>
      </c>
      <c r="AA163" s="85">
        <f t="shared" si="58"/>
        <v>6440.0284523745786</v>
      </c>
      <c r="AB163" s="85">
        <f t="shared" si="59"/>
        <v>6561.5123408837253</v>
      </c>
      <c r="AC163" s="85">
        <f t="shared" si="60"/>
        <v>6647.3771410360287</v>
      </c>
      <c r="AD163" s="41"/>
    </row>
    <row r="164" spans="17:30" hidden="1" x14ac:dyDescent="0.35">
      <c r="Q164" s="3" t="str">
        <f t="shared" si="50"/>
        <v>Stopiņu novads</v>
      </c>
      <c r="R164" s="3"/>
      <c r="S164" s="85">
        <f t="shared" si="51"/>
        <v>3256.6396300893043</v>
      </c>
      <c r="T164" s="85">
        <f t="shared" si="52"/>
        <v>3148.8320062981461</v>
      </c>
      <c r="U164" s="85">
        <f t="shared" si="53"/>
        <v>3289.8400618120127</v>
      </c>
      <c r="V164" s="85">
        <f t="shared" si="54"/>
        <v>3488.9039689422539</v>
      </c>
      <c r="W164" s="85">
        <f t="shared" si="55"/>
        <v>3790.1819976581355</v>
      </c>
      <c r="X164" s="85">
        <f t="shared" si="56"/>
        <v>3774.1728792374533</v>
      </c>
      <c r="Y164" s="85">
        <f t="shared" si="61"/>
        <v>4031.3765291457148</v>
      </c>
      <c r="Z164" s="85">
        <f t="shared" si="61"/>
        <v>4083.4611730277024</v>
      </c>
      <c r="AA164" s="85">
        <f t="shared" si="58"/>
        <v>4345.7102564804063</v>
      </c>
      <c r="AB164" s="85">
        <f t="shared" si="59"/>
        <v>4384.7330686331989</v>
      </c>
      <c r="AC164" s="85">
        <f t="shared" si="60"/>
        <v>4399.0589192265361</v>
      </c>
      <c r="AD164" s="41"/>
    </row>
    <row r="165" spans="17:30" hidden="1" x14ac:dyDescent="0.35">
      <c r="Q165" s="3" t="str">
        <f t="shared" si="50"/>
        <v>Tukuma novads</v>
      </c>
      <c r="R165" s="3"/>
      <c r="S165" s="85">
        <f t="shared" si="51"/>
        <v>9454.3394711950805</v>
      </c>
      <c r="T165" s="85">
        <f t="shared" si="52"/>
        <v>9011.6205441648854</v>
      </c>
      <c r="U165" s="85">
        <f t="shared" si="53"/>
        <v>9358.2895348677357</v>
      </c>
      <c r="V165" s="85">
        <f t="shared" si="54"/>
        <v>9773.4980089241981</v>
      </c>
      <c r="W165" s="85">
        <f t="shared" si="55"/>
        <v>10391.793078394076</v>
      </c>
      <c r="X165" s="85">
        <f t="shared" si="56"/>
        <v>10036.522827259263</v>
      </c>
      <c r="Y165" s="85">
        <f t="shared" si="61"/>
        <v>10351.846342429681</v>
      </c>
      <c r="Z165" s="85">
        <f t="shared" si="61"/>
        <v>9781.5192917513887</v>
      </c>
      <c r="AA165" s="85">
        <f t="shared" si="58"/>
        <v>9835.4596362961984</v>
      </c>
      <c r="AB165" s="85">
        <f t="shared" si="59"/>
        <v>9845.3497142921369</v>
      </c>
      <c r="AC165" s="85">
        <f t="shared" si="60"/>
        <v>9797.0035486810448</v>
      </c>
      <c r="AD165" s="41"/>
    </row>
    <row r="166" spans="17:30" hidden="1" x14ac:dyDescent="0.35">
      <c r="Q166" s="3" t="str">
        <f t="shared" si="50"/>
        <v>Alūksnes novads</v>
      </c>
      <c r="R166" s="3"/>
      <c r="S166" s="85">
        <f t="shared" si="51"/>
        <v>3275.7349094898686</v>
      </c>
      <c r="T166" s="85">
        <f t="shared" si="52"/>
        <v>3601.5404937900048</v>
      </c>
      <c r="U166" s="85">
        <f t="shared" si="53"/>
        <v>3488.6626090060367</v>
      </c>
      <c r="V166" s="85">
        <f t="shared" si="54"/>
        <v>3525.0093904807063</v>
      </c>
      <c r="W166" s="85">
        <f t="shared" si="55"/>
        <v>3497.0583594942059</v>
      </c>
      <c r="X166" s="85">
        <f t="shared" si="56"/>
        <v>3556.9694388951052</v>
      </c>
      <c r="Y166" s="85">
        <f t="shared" si="61"/>
        <v>3684.1818289028829</v>
      </c>
      <c r="Z166" s="85">
        <f t="shared" si="61"/>
        <v>3532.0673896517706</v>
      </c>
      <c r="AA166" s="85">
        <f t="shared" si="58"/>
        <v>3593.6742218795339</v>
      </c>
      <c r="AB166" s="85">
        <f t="shared" si="59"/>
        <v>3616.5330083433641</v>
      </c>
      <c r="AC166" s="85">
        <f t="shared" si="60"/>
        <v>3616.8491379134598</v>
      </c>
      <c r="AD166" s="41"/>
    </row>
    <row r="167" spans="17:30" hidden="1" x14ac:dyDescent="0.35">
      <c r="Q167" s="3" t="str">
        <f t="shared" si="50"/>
        <v>Amatas novads</v>
      </c>
      <c r="R167" s="3"/>
      <c r="S167" s="85">
        <f t="shared" si="51"/>
        <v>1115.1225733426043</v>
      </c>
      <c r="T167" s="85">
        <f t="shared" si="52"/>
        <v>1231.6312407388557</v>
      </c>
      <c r="U167" s="85">
        <f t="shared" si="53"/>
        <v>1201.234287916956</v>
      </c>
      <c r="V167" s="85">
        <f t="shared" si="54"/>
        <v>1223.130818347021</v>
      </c>
      <c r="W167" s="85">
        <f t="shared" si="55"/>
        <v>1212.0913204933258</v>
      </c>
      <c r="X167" s="85">
        <f t="shared" si="56"/>
        <v>1229.6516101984669</v>
      </c>
      <c r="Y167" s="85">
        <f t="shared" si="61"/>
        <v>1297.1297995776911</v>
      </c>
      <c r="Z167" s="85">
        <f t="shared" si="61"/>
        <v>1269.0303333069137</v>
      </c>
      <c r="AA167" s="85">
        <f t="shared" si="58"/>
        <v>1307.2148781990197</v>
      </c>
      <c r="AB167" s="85">
        <f t="shared" si="59"/>
        <v>1319.5094371468713</v>
      </c>
      <c r="AC167" s="85">
        <f t="shared" si="60"/>
        <v>1323.9704722412866</v>
      </c>
      <c r="AD167" s="41"/>
    </row>
    <row r="168" spans="17:30" hidden="1" x14ac:dyDescent="0.35">
      <c r="Q168" s="3" t="str">
        <f t="shared" ref="Q168:Q199" si="62">Q38</f>
        <v>Apes novads</v>
      </c>
      <c r="R168" s="3"/>
      <c r="S168" s="85">
        <f t="shared" ref="S168:S199" si="63">((-0.0000000006)*$S$130 + 0.0461)*S38</f>
        <v>741.8188813182685</v>
      </c>
      <c r="T168" s="85">
        <f t="shared" ref="T168:T199" si="64">((-0.0000000006)*$T$130 + 0.0461)*T38</f>
        <v>821.46331197576922</v>
      </c>
      <c r="U168" s="85">
        <f t="shared" ref="U168:U199" si="65">((-0.0000000006)*$U$130 + 0.0461)*U38</f>
        <v>797.92455761967051</v>
      </c>
      <c r="V168" s="85">
        <f t="shared" ref="V168:V199" si="66">((-0.0000000006)*$V$130 + 0.0461)*V38</f>
        <v>808.54516153799693</v>
      </c>
      <c r="W168" s="85">
        <f t="shared" ref="W168:W199" si="67">((-0.0000000006)*$W$130 + 0.0461)*W38</f>
        <v>801.72222728737336</v>
      </c>
      <c r="X168" s="85">
        <f t="shared" ref="X168:X199" si="68">((-0.0000000006)*$X$130 + 0.0461)*X38</f>
        <v>822.14364103815149</v>
      </c>
      <c r="Y168" s="85">
        <f t="shared" si="61"/>
        <v>857.72480224934634</v>
      </c>
      <c r="Z168" s="85">
        <f t="shared" si="61"/>
        <v>819.54019147791962</v>
      </c>
      <c r="AA168" s="85">
        <f t="shared" ref="AA168:AA199" si="69">((-0.0000000006)*$AA$130 + 0.0461)*AA38</f>
        <v>830.94480060052717</v>
      </c>
      <c r="AB168" s="85">
        <f t="shared" ref="AB168:AB199" si="70">((-0.0000000006)*$AB$130 + 0.0461)*AB38</f>
        <v>841.25458809118902</v>
      </c>
      <c r="AC168" s="85">
        <f t="shared" ref="AC168:AC199" si="71">((-0.0000000006)*$AC$130 + 0.0461)*AC38</f>
        <v>846.75118684956612</v>
      </c>
      <c r="AD168" s="41"/>
    </row>
    <row r="169" spans="17:30" hidden="1" x14ac:dyDescent="0.35">
      <c r="Q169" s="3" t="str">
        <f t="shared" si="62"/>
        <v>Beverīnas novads</v>
      </c>
      <c r="R169" s="3"/>
      <c r="S169" s="85">
        <f t="shared" si="63"/>
        <v>658.21960448331561</v>
      </c>
      <c r="T169" s="85">
        <f t="shared" si="64"/>
        <v>728.56106532904494</v>
      </c>
      <c r="U169" s="85">
        <f t="shared" si="65"/>
        <v>710.30668918029357</v>
      </c>
      <c r="V169" s="85">
        <f t="shared" si="66"/>
        <v>719.62352812622169</v>
      </c>
      <c r="W169" s="85">
        <f t="shared" si="67"/>
        <v>716.26779369071039</v>
      </c>
      <c r="X169" s="85">
        <f t="shared" si="68"/>
        <v>738.82325409885902</v>
      </c>
      <c r="Y169" s="85">
        <f t="shared" si="61"/>
        <v>767.65719023773056</v>
      </c>
      <c r="Z169" s="85">
        <f t="shared" si="61"/>
        <v>751.66416334938037</v>
      </c>
      <c r="AA169" s="85">
        <f t="shared" si="69"/>
        <v>764.31365746344909</v>
      </c>
      <c r="AB169" s="85">
        <f t="shared" si="70"/>
        <v>779.58771847759044</v>
      </c>
      <c r="AC169" s="85">
        <f t="shared" si="71"/>
        <v>790.82053007770833</v>
      </c>
      <c r="AD169" s="41"/>
    </row>
    <row r="170" spans="17:30" hidden="1" x14ac:dyDescent="0.35">
      <c r="Q170" s="3" t="str">
        <f t="shared" si="62"/>
        <v>Burtnieku novads</v>
      </c>
      <c r="R170" s="3"/>
      <c r="S170" s="85">
        <f t="shared" si="63"/>
        <v>1628.4899702312284</v>
      </c>
      <c r="T170" s="85">
        <f t="shared" si="64"/>
        <v>1832.7899532635336</v>
      </c>
      <c r="U170" s="85">
        <f t="shared" si="65"/>
        <v>1808.5398187792032</v>
      </c>
      <c r="V170" s="85">
        <f t="shared" si="66"/>
        <v>1867.8126605823909</v>
      </c>
      <c r="W170" s="85">
        <f t="shared" si="67"/>
        <v>1872.7198263752202</v>
      </c>
      <c r="X170" s="85">
        <f t="shared" si="68"/>
        <v>1864.0171520577999</v>
      </c>
      <c r="Y170" s="85">
        <f t="shared" si="61"/>
        <v>1948.4279650489702</v>
      </c>
      <c r="Z170" s="85">
        <f t="shared" si="61"/>
        <v>1867.8477370186943</v>
      </c>
      <c r="AA170" s="85">
        <f t="shared" si="69"/>
        <v>1921.1547495943546</v>
      </c>
      <c r="AB170" s="85">
        <f t="shared" si="70"/>
        <v>1969.569800671881</v>
      </c>
      <c r="AC170" s="85">
        <f t="shared" si="71"/>
        <v>2008.4949282550665</v>
      </c>
      <c r="AD170" s="41"/>
    </row>
    <row r="171" spans="17:30" hidden="1" x14ac:dyDescent="0.35">
      <c r="Q171" s="3" t="str">
        <f t="shared" si="62"/>
        <v>Cesvaines novads</v>
      </c>
      <c r="R171" s="3"/>
      <c r="S171" s="85">
        <f t="shared" si="63"/>
        <v>553.47110725574964</v>
      </c>
      <c r="T171" s="85">
        <f t="shared" si="64"/>
        <v>608.14893011217396</v>
      </c>
      <c r="U171" s="85">
        <f t="shared" si="65"/>
        <v>583.45028423880353</v>
      </c>
      <c r="V171" s="85">
        <f t="shared" si="66"/>
        <v>586.69943694367123</v>
      </c>
      <c r="W171" s="85">
        <f t="shared" si="67"/>
        <v>586.20802387600918</v>
      </c>
      <c r="X171" s="85">
        <f t="shared" si="68"/>
        <v>595.28606833913386</v>
      </c>
      <c r="Y171" s="85">
        <f t="shared" si="61"/>
        <v>608.86746963921723</v>
      </c>
      <c r="Z171" s="85">
        <f t="shared" si="61"/>
        <v>580.46573684739769</v>
      </c>
      <c r="AA171" s="85">
        <f t="shared" si="69"/>
        <v>584.1243793301054</v>
      </c>
      <c r="AB171" s="85">
        <f t="shared" si="70"/>
        <v>591.89423323445374</v>
      </c>
      <c r="AC171" s="85">
        <f t="shared" si="71"/>
        <v>596.59367223314803</v>
      </c>
      <c r="AD171" s="41"/>
    </row>
    <row r="172" spans="17:30" hidden="1" x14ac:dyDescent="0.35">
      <c r="Q172" s="3" t="str">
        <f t="shared" si="62"/>
        <v>Cēsu novads</v>
      </c>
      <c r="R172" s="3"/>
      <c r="S172" s="85">
        <f t="shared" si="63"/>
        <v>3499.3978911891104</v>
      </c>
      <c r="T172" s="85">
        <f t="shared" si="64"/>
        <v>3887.6884330975122</v>
      </c>
      <c r="U172" s="85">
        <f t="shared" si="65"/>
        <v>3798.7808151108038</v>
      </c>
      <c r="V172" s="85">
        <f t="shared" si="66"/>
        <v>3857.0904389695261</v>
      </c>
      <c r="W172" s="85">
        <f t="shared" si="67"/>
        <v>3903.6712138607445</v>
      </c>
      <c r="X172" s="85">
        <f t="shared" si="68"/>
        <v>4052.7134520412792</v>
      </c>
      <c r="Y172" s="85">
        <f t="shared" si="61"/>
        <v>4261.8119764571466</v>
      </c>
      <c r="Z172" s="85">
        <f t="shared" si="61"/>
        <v>4079.0978978284434</v>
      </c>
      <c r="AA172" s="85">
        <f t="shared" si="69"/>
        <v>4185.317290513045</v>
      </c>
      <c r="AB172" s="85">
        <f t="shared" si="70"/>
        <v>4250.705401094564</v>
      </c>
      <c r="AC172" s="85">
        <f t="shared" si="71"/>
        <v>4292.4692107595811</v>
      </c>
      <c r="AD172" s="41"/>
    </row>
    <row r="173" spans="17:30" hidden="1" x14ac:dyDescent="0.35">
      <c r="Q173" s="3" t="str">
        <f t="shared" si="62"/>
        <v>Ērgļu novads</v>
      </c>
      <c r="R173" s="3"/>
      <c r="S173" s="85">
        <f t="shared" si="63"/>
        <v>610.33457717928547</v>
      </c>
      <c r="T173" s="85">
        <f t="shared" si="64"/>
        <v>673.76677907867099</v>
      </c>
      <c r="U173" s="85">
        <f t="shared" si="65"/>
        <v>656.13075525976262</v>
      </c>
      <c r="V173" s="85">
        <f t="shared" si="66"/>
        <v>671.26666047188007</v>
      </c>
      <c r="W173" s="85">
        <f t="shared" si="67"/>
        <v>658.2808566072606</v>
      </c>
      <c r="X173" s="85">
        <f t="shared" si="68"/>
        <v>675.16549534583021</v>
      </c>
      <c r="Y173" s="85">
        <f t="shared" si="61"/>
        <v>699.97632572033149</v>
      </c>
      <c r="Z173" s="85">
        <f t="shared" si="61"/>
        <v>673.73242734994631</v>
      </c>
      <c r="AA173" s="85">
        <f t="shared" si="69"/>
        <v>674.08938582258054</v>
      </c>
      <c r="AB173" s="85">
        <f t="shared" si="70"/>
        <v>682.10559271286229</v>
      </c>
      <c r="AC173" s="85">
        <f t="shared" si="71"/>
        <v>686.19402785771604</v>
      </c>
      <c r="AD173" s="41"/>
    </row>
    <row r="174" spans="17:30" hidden="1" x14ac:dyDescent="0.35">
      <c r="Q174" s="3" t="str">
        <f t="shared" si="62"/>
        <v>Gulbenes novads</v>
      </c>
      <c r="R174" s="3"/>
      <c r="S174" s="85">
        <f t="shared" si="63"/>
        <v>4464.2811913653195</v>
      </c>
      <c r="T174" s="85">
        <f t="shared" si="64"/>
        <v>4946.1426703783973</v>
      </c>
      <c r="U174" s="85">
        <f t="shared" si="65"/>
        <v>4824.5564199188802</v>
      </c>
      <c r="V174" s="85">
        <f t="shared" si="66"/>
        <v>4868.688608762247</v>
      </c>
      <c r="W174" s="85">
        <f t="shared" si="67"/>
        <v>4884.2843158751984</v>
      </c>
      <c r="X174" s="85">
        <f t="shared" si="68"/>
        <v>5021.589455919423</v>
      </c>
      <c r="Y174" s="85">
        <f t="shared" si="61"/>
        <v>5226.784917864833</v>
      </c>
      <c r="Z174" s="85">
        <f t="shared" si="61"/>
        <v>5028.1053281441327</v>
      </c>
      <c r="AA174" s="85">
        <f t="shared" si="69"/>
        <v>5086.5229463281566</v>
      </c>
      <c r="AB174" s="85">
        <f t="shared" si="70"/>
        <v>5167.629816091523</v>
      </c>
      <c r="AC174" s="85">
        <f t="shared" si="71"/>
        <v>5220.4728940140349</v>
      </c>
      <c r="AD174" s="41"/>
    </row>
    <row r="175" spans="17:30" hidden="1" x14ac:dyDescent="0.35">
      <c r="Q175" s="3" t="str">
        <f t="shared" si="62"/>
        <v>Jaunpiebalgas novads</v>
      </c>
      <c r="R175" s="3"/>
      <c r="S175" s="85">
        <f t="shared" si="63"/>
        <v>465.48236958459398</v>
      </c>
      <c r="T175" s="85">
        <f t="shared" si="64"/>
        <v>522.91337372270345</v>
      </c>
      <c r="U175" s="85">
        <f t="shared" si="65"/>
        <v>511.21570567809573</v>
      </c>
      <c r="V175" s="85">
        <f t="shared" si="66"/>
        <v>502.59057235057469</v>
      </c>
      <c r="W175" s="85">
        <f t="shared" si="67"/>
        <v>502.16217984412629</v>
      </c>
      <c r="X175" s="85">
        <f t="shared" si="68"/>
        <v>512.7030299568263</v>
      </c>
      <c r="Y175" s="85">
        <f t="shared" si="61"/>
        <v>525.56794407934149</v>
      </c>
      <c r="Z175" s="85">
        <f t="shared" si="61"/>
        <v>505.55071320923201</v>
      </c>
      <c r="AA175" s="85">
        <f t="shared" si="69"/>
        <v>516.45617559945401</v>
      </c>
      <c r="AB175" s="85">
        <f t="shared" si="70"/>
        <v>522.95659733453556</v>
      </c>
      <c r="AC175" s="85">
        <f t="shared" si="71"/>
        <v>526.74991676182333</v>
      </c>
      <c r="AD175" s="41"/>
    </row>
    <row r="176" spans="17:30" hidden="1" x14ac:dyDescent="0.35">
      <c r="Q176" s="3" t="str">
        <f t="shared" si="62"/>
        <v>Kocēnu novads</v>
      </c>
      <c r="R176" s="3"/>
      <c r="S176" s="85">
        <f t="shared" si="63"/>
        <v>1249.5996916880893</v>
      </c>
      <c r="T176" s="85">
        <f t="shared" si="64"/>
        <v>1403.9062806371505</v>
      </c>
      <c r="U176" s="85">
        <f t="shared" si="65"/>
        <v>1370.4504765823176</v>
      </c>
      <c r="V176" s="85">
        <f t="shared" si="66"/>
        <v>1396.1613163518928</v>
      </c>
      <c r="W176" s="85">
        <f t="shared" si="67"/>
        <v>1403.8942662308909</v>
      </c>
      <c r="X176" s="85">
        <f t="shared" si="68"/>
        <v>1453.0682229648883</v>
      </c>
      <c r="Y176" s="85">
        <f t="shared" ref="Y176:Z195" si="72">((-0.0000000006)*$Z$130 + 0.0461)*Y46</f>
        <v>1518.1338533287367</v>
      </c>
      <c r="Z176" s="85">
        <f t="shared" si="72"/>
        <v>1459.5859974603686</v>
      </c>
      <c r="AA176" s="85">
        <f t="shared" si="69"/>
        <v>1497.5154971197019</v>
      </c>
      <c r="AB176" s="85">
        <f t="shared" si="70"/>
        <v>1531.4388100110732</v>
      </c>
      <c r="AC176" s="85">
        <f t="shared" si="71"/>
        <v>1557.7105303923336</v>
      </c>
      <c r="AD176" s="41"/>
    </row>
    <row r="177" spans="17:30" hidden="1" x14ac:dyDescent="0.35">
      <c r="Q177" s="3" t="str">
        <f t="shared" si="62"/>
        <v>Līgatnes novads</v>
      </c>
      <c r="R177" s="3"/>
      <c r="S177" s="85">
        <f t="shared" si="63"/>
        <v>718.87397240175403</v>
      </c>
      <c r="T177" s="85">
        <f t="shared" si="64"/>
        <v>796.43382319473426</v>
      </c>
      <c r="U177" s="85">
        <f t="shared" si="65"/>
        <v>776.07582706735775</v>
      </c>
      <c r="V177" s="85">
        <f t="shared" si="66"/>
        <v>780.12690756103791</v>
      </c>
      <c r="W177" s="85">
        <f t="shared" si="67"/>
        <v>778.01096961357393</v>
      </c>
      <c r="X177" s="85">
        <f t="shared" si="68"/>
        <v>801.74366429490283</v>
      </c>
      <c r="Y177" s="85">
        <f t="shared" si="72"/>
        <v>849.65516071073341</v>
      </c>
      <c r="Z177" s="85">
        <f t="shared" si="72"/>
        <v>819.79158417469216</v>
      </c>
      <c r="AA177" s="85">
        <f t="shared" si="69"/>
        <v>844.68585346537202</v>
      </c>
      <c r="AB177" s="85">
        <f t="shared" si="70"/>
        <v>853.91110718218965</v>
      </c>
      <c r="AC177" s="85">
        <f t="shared" si="71"/>
        <v>858.43818975711827</v>
      </c>
      <c r="AD177" s="41"/>
    </row>
    <row r="178" spans="17:30" hidden="1" x14ac:dyDescent="0.35">
      <c r="Q178" s="3" t="str">
        <f t="shared" si="62"/>
        <v>Lubānas novads</v>
      </c>
      <c r="R178" s="3"/>
      <c r="S178" s="85">
        <f t="shared" si="63"/>
        <v>499.20140964451525</v>
      </c>
      <c r="T178" s="85">
        <f t="shared" si="64"/>
        <v>558.08995255010404</v>
      </c>
      <c r="U178" s="85">
        <f t="shared" si="65"/>
        <v>544.88058642706756</v>
      </c>
      <c r="V178" s="85">
        <f t="shared" si="66"/>
        <v>543.38451757556436</v>
      </c>
      <c r="W178" s="85">
        <f t="shared" si="67"/>
        <v>542.7765122952876</v>
      </c>
      <c r="X178" s="85">
        <f t="shared" si="68"/>
        <v>562.10538327481379</v>
      </c>
      <c r="Y178" s="85">
        <f t="shared" si="72"/>
        <v>579.45232467588608</v>
      </c>
      <c r="Z178" s="85">
        <f t="shared" si="72"/>
        <v>558.84596492497406</v>
      </c>
      <c r="AA178" s="85">
        <f t="shared" si="69"/>
        <v>560.79051597470834</v>
      </c>
      <c r="AB178" s="85">
        <f t="shared" si="70"/>
        <v>571.69766021689964</v>
      </c>
      <c r="AC178" s="85">
        <f t="shared" si="71"/>
        <v>579.61969181979816</v>
      </c>
      <c r="AD178" s="41"/>
    </row>
    <row r="179" spans="17:30" hidden="1" x14ac:dyDescent="0.35">
      <c r="Q179" s="3" t="str">
        <f t="shared" si="62"/>
        <v>Madonas novads</v>
      </c>
      <c r="R179" s="3"/>
      <c r="S179" s="85">
        <f t="shared" si="63"/>
        <v>4908.8138615043999</v>
      </c>
      <c r="T179" s="85">
        <f t="shared" si="64"/>
        <v>5441.9971373107919</v>
      </c>
      <c r="U179" s="85">
        <f t="shared" si="65"/>
        <v>5301.2154599275018</v>
      </c>
      <c r="V179" s="85">
        <f t="shared" si="66"/>
        <v>5372.1958989830464</v>
      </c>
      <c r="W179" s="85">
        <f t="shared" si="67"/>
        <v>5386.6812606467875</v>
      </c>
      <c r="X179" s="85">
        <f t="shared" si="68"/>
        <v>5555.6755940288122</v>
      </c>
      <c r="Y179" s="85">
        <f t="shared" si="72"/>
        <v>5794.7835577762362</v>
      </c>
      <c r="Z179" s="85">
        <f t="shared" si="72"/>
        <v>5547.9854250693897</v>
      </c>
      <c r="AA179" s="85">
        <f t="shared" si="69"/>
        <v>5619.8313565731751</v>
      </c>
      <c r="AB179" s="85">
        <f t="shared" si="70"/>
        <v>5716.4380268885279</v>
      </c>
      <c r="AC179" s="85">
        <f t="shared" si="71"/>
        <v>5782.2838194985152</v>
      </c>
      <c r="AD179" s="41"/>
    </row>
    <row r="180" spans="17:30" hidden="1" x14ac:dyDescent="0.35">
      <c r="Q180" s="3" t="str">
        <f t="shared" si="62"/>
        <v>Mazsalacas novads</v>
      </c>
      <c r="R180" s="3"/>
      <c r="S180" s="85">
        <f t="shared" si="63"/>
        <v>677.77265729912801</v>
      </c>
      <c r="T180" s="85">
        <f t="shared" si="64"/>
        <v>747.27680919234126</v>
      </c>
      <c r="U180" s="85">
        <f t="shared" si="65"/>
        <v>722.12283937695247</v>
      </c>
      <c r="V180" s="85">
        <f t="shared" si="66"/>
        <v>721.22778439911463</v>
      </c>
      <c r="W180" s="85">
        <f t="shared" si="67"/>
        <v>711.33773021397985</v>
      </c>
      <c r="X180" s="85">
        <f t="shared" si="68"/>
        <v>734.89072846160627</v>
      </c>
      <c r="Y180" s="85">
        <f t="shared" si="72"/>
        <v>763.23190294236213</v>
      </c>
      <c r="Z180" s="85">
        <f t="shared" si="72"/>
        <v>737.083386936583</v>
      </c>
      <c r="AA180" s="85">
        <f t="shared" si="69"/>
        <v>743.3131804435917</v>
      </c>
      <c r="AB180" s="85">
        <f t="shared" si="70"/>
        <v>751.31251625301456</v>
      </c>
      <c r="AC180" s="85">
        <f t="shared" si="71"/>
        <v>755.20299740707264</v>
      </c>
      <c r="AD180" s="41"/>
    </row>
    <row r="181" spans="17:30" hidden="1" x14ac:dyDescent="0.35">
      <c r="Q181" s="3" t="str">
        <f t="shared" si="62"/>
        <v>Naukšēnu novads</v>
      </c>
      <c r="R181" s="3"/>
      <c r="S181" s="85">
        <f t="shared" si="63"/>
        <v>385.47446979744348</v>
      </c>
      <c r="T181" s="85">
        <f t="shared" si="64"/>
        <v>424.14836393807906</v>
      </c>
      <c r="U181" s="85">
        <f t="shared" si="65"/>
        <v>411.78168704205962</v>
      </c>
      <c r="V181" s="85">
        <f t="shared" si="66"/>
        <v>418.02334882236579</v>
      </c>
      <c r="W181" s="85">
        <f t="shared" si="67"/>
        <v>415.53392161014665</v>
      </c>
      <c r="X181" s="85">
        <f t="shared" si="68"/>
        <v>425.45011738028109</v>
      </c>
      <c r="Y181" s="85">
        <f t="shared" si="72"/>
        <v>442.78904055421486</v>
      </c>
      <c r="Z181" s="85">
        <f t="shared" si="72"/>
        <v>434.90936541619664</v>
      </c>
      <c r="AA181" s="85">
        <f t="shared" si="69"/>
        <v>437.89883563628405</v>
      </c>
      <c r="AB181" s="85">
        <f t="shared" si="70"/>
        <v>442.17030526431898</v>
      </c>
      <c r="AC181" s="85">
        <f t="shared" si="71"/>
        <v>444.10611048698894</v>
      </c>
      <c r="AD181" s="41"/>
    </row>
    <row r="182" spans="17:30" hidden="1" x14ac:dyDescent="0.35">
      <c r="Q182" s="3" t="str">
        <f t="shared" si="62"/>
        <v>Pārgaujas novads</v>
      </c>
      <c r="R182" s="3"/>
      <c r="S182" s="85">
        <f t="shared" si="63"/>
        <v>788.10774104549773</v>
      </c>
      <c r="T182" s="85">
        <f t="shared" si="64"/>
        <v>887.98312450194328</v>
      </c>
      <c r="U182" s="85">
        <f t="shared" si="65"/>
        <v>868.82145879962457</v>
      </c>
      <c r="V182" s="85">
        <f t="shared" si="66"/>
        <v>874.31966872660382</v>
      </c>
      <c r="W182" s="85">
        <f t="shared" si="67"/>
        <v>875.20364958340485</v>
      </c>
      <c r="X182" s="85">
        <f t="shared" si="68"/>
        <v>901.03993663553456</v>
      </c>
      <c r="Y182" s="85">
        <f t="shared" si="72"/>
        <v>943.10681594821904</v>
      </c>
      <c r="Z182" s="85">
        <f t="shared" si="72"/>
        <v>914.56663085787488</v>
      </c>
      <c r="AA182" s="85">
        <f t="shared" si="69"/>
        <v>934.13232966106068</v>
      </c>
      <c r="AB182" s="85">
        <f t="shared" si="70"/>
        <v>953.27824642855614</v>
      </c>
      <c r="AC182" s="85">
        <f t="shared" si="71"/>
        <v>967.51688356094019</v>
      </c>
      <c r="AD182" s="41"/>
    </row>
    <row r="183" spans="17:30" hidden="1" x14ac:dyDescent="0.35">
      <c r="Q183" s="3" t="str">
        <f t="shared" si="62"/>
        <v>Priekuļu novads</v>
      </c>
      <c r="R183" s="3"/>
      <c r="S183" s="85">
        <f t="shared" si="63"/>
        <v>1642.4564365282372</v>
      </c>
      <c r="T183" s="85">
        <f t="shared" si="64"/>
        <v>1815.2016638498333</v>
      </c>
      <c r="U183" s="85">
        <f t="shared" si="65"/>
        <v>1772.6454757289748</v>
      </c>
      <c r="V183" s="85">
        <f t="shared" si="66"/>
        <v>1819.6849723956054</v>
      </c>
      <c r="W183" s="85">
        <f t="shared" si="67"/>
        <v>1847.5999791366407</v>
      </c>
      <c r="X183" s="85">
        <f t="shared" si="68"/>
        <v>1897.1978371221196</v>
      </c>
      <c r="Y183" s="85">
        <f t="shared" si="72"/>
        <v>1980.1859091686729</v>
      </c>
      <c r="Z183" s="85">
        <f t="shared" si="72"/>
        <v>1911.0872808635415</v>
      </c>
      <c r="AA183" s="85">
        <f t="shared" si="69"/>
        <v>1946.8219992852914</v>
      </c>
      <c r="AB183" s="85">
        <f t="shared" si="70"/>
        <v>1986.5349220066266</v>
      </c>
      <c r="AC183" s="85">
        <f t="shared" si="71"/>
        <v>2016.0080015527788</v>
      </c>
      <c r="AD183" s="41"/>
    </row>
    <row r="184" spans="17:30" hidden="1" x14ac:dyDescent="0.35">
      <c r="Q184" s="3" t="str">
        <f t="shared" si="62"/>
        <v>Raunas novads</v>
      </c>
      <c r="R184" s="3"/>
      <c r="S184" s="85">
        <f t="shared" si="63"/>
        <v>696.32810537943976</v>
      </c>
      <c r="T184" s="85">
        <f t="shared" si="64"/>
        <v>769.37491640442624</v>
      </c>
      <c r="U184" s="85">
        <f t="shared" si="65"/>
        <v>746.64692469077295</v>
      </c>
      <c r="V184" s="85">
        <f t="shared" si="66"/>
        <v>734.97855245248195</v>
      </c>
      <c r="W184" s="85">
        <f t="shared" si="67"/>
        <v>733.64039832299898</v>
      </c>
      <c r="X184" s="85">
        <f t="shared" si="68"/>
        <v>760.94371080840574</v>
      </c>
      <c r="Y184" s="85">
        <f t="shared" si="72"/>
        <v>786.92020552345184</v>
      </c>
      <c r="Z184" s="85">
        <f t="shared" si="72"/>
        <v>763.73101279445405</v>
      </c>
      <c r="AA184" s="85">
        <f t="shared" si="69"/>
        <v>779.09177092186712</v>
      </c>
      <c r="AB184" s="85">
        <f t="shared" si="70"/>
        <v>786.05062184320764</v>
      </c>
      <c r="AC184" s="85">
        <f t="shared" si="71"/>
        <v>788.03791033781499</v>
      </c>
      <c r="AD184" s="41"/>
    </row>
    <row r="185" spans="17:30" hidden="1" x14ac:dyDescent="0.35">
      <c r="Q185" s="3" t="str">
        <f t="shared" si="62"/>
        <v>Rūjienas novads</v>
      </c>
      <c r="R185" s="3"/>
      <c r="S185" s="85">
        <f t="shared" si="63"/>
        <v>1087.788203589887</v>
      </c>
      <c r="T185" s="85">
        <f t="shared" si="64"/>
        <v>1199.8370252602438</v>
      </c>
      <c r="U185" s="85">
        <f t="shared" si="65"/>
        <v>1163.5563750257224</v>
      </c>
      <c r="V185" s="85">
        <f t="shared" si="66"/>
        <v>1181.649334719363</v>
      </c>
      <c r="W185" s="85">
        <f t="shared" si="67"/>
        <v>1186.9714732547463</v>
      </c>
      <c r="X185" s="85">
        <f t="shared" si="68"/>
        <v>1226.9479988228557</v>
      </c>
      <c r="Y185" s="85">
        <f t="shared" si="72"/>
        <v>1279.9492724309666</v>
      </c>
      <c r="Z185" s="85">
        <f t="shared" si="72"/>
        <v>1235.092319242644</v>
      </c>
      <c r="AA185" s="85">
        <f t="shared" si="69"/>
        <v>1248.8802198105273</v>
      </c>
      <c r="AB185" s="85">
        <f t="shared" si="70"/>
        <v>1268.6140731426349</v>
      </c>
      <c r="AC185" s="85">
        <f t="shared" si="71"/>
        <v>1281.3963902209173</v>
      </c>
      <c r="AD185" s="41"/>
    </row>
    <row r="186" spans="17:30" hidden="1" x14ac:dyDescent="0.35">
      <c r="Q186" s="3" t="str">
        <f t="shared" si="62"/>
        <v>Smiltenes novads</v>
      </c>
      <c r="R186" s="3"/>
      <c r="S186" s="85">
        <f t="shared" si="63"/>
        <v>2584.9933906292326</v>
      </c>
      <c r="T186" s="85">
        <f t="shared" si="64"/>
        <v>2888.7637907553062</v>
      </c>
      <c r="U186" s="85">
        <f t="shared" si="65"/>
        <v>2830.7482839052691</v>
      </c>
      <c r="V186" s="85">
        <f t="shared" si="66"/>
        <v>2858.3263193599482</v>
      </c>
      <c r="W186" s="85">
        <f t="shared" si="67"/>
        <v>2885.2609585246905</v>
      </c>
      <c r="X186" s="85">
        <f t="shared" si="68"/>
        <v>2969.5484218304773</v>
      </c>
      <c r="Y186" s="85">
        <f t="shared" si="72"/>
        <v>3127.6368737559624</v>
      </c>
      <c r="Z186" s="85">
        <f t="shared" si="72"/>
        <v>3036.0695989198884</v>
      </c>
      <c r="AA186" s="85">
        <f t="shared" si="69"/>
        <v>3096.9221975579708</v>
      </c>
      <c r="AB186" s="85">
        <f t="shared" si="70"/>
        <v>3157.1282941040658</v>
      </c>
      <c r="AC186" s="85">
        <f t="shared" si="71"/>
        <v>3200.8474867993946</v>
      </c>
      <c r="AD186" s="41"/>
    </row>
    <row r="187" spans="17:30" hidden="1" x14ac:dyDescent="0.35">
      <c r="Q187" s="3" t="str">
        <f t="shared" si="62"/>
        <v>Strenču novads</v>
      </c>
      <c r="R187" s="3"/>
      <c r="S187" s="85">
        <f t="shared" si="63"/>
        <v>716.08067914235221</v>
      </c>
      <c r="T187" s="85">
        <f t="shared" si="64"/>
        <v>779.97298823063022</v>
      </c>
      <c r="U187" s="85">
        <f t="shared" si="65"/>
        <v>743.30273123888844</v>
      </c>
      <c r="V187" s="85">
        <f t="shared" si="66"/>
        <v>735.2077319200381</v>
      </c>
      <c r="W187" s="85">
        <f t="shared" si="67"/>
        <v>722.37168180475771</v>
      </c>
      <c r="X187" s="85">
        <f t="shared" si="68"/>
        <v>723.83050010683291</v>
      </c>
      <c r="Y187" s="85">
        <f t="shared" si="72"/>
        <v>758.80661564699381</v>
      </c>
      <c r="Z187" s="85">
        <f t="shared" si="72"/>
        <v>718.22893467865538</v>
      </c>
      <c r="AA187" s="85">
        <f t="shared" si="69"/>
        <v>749.79480915342413</v>
      </c>
      <c r="AB187" s="85">
        <f t="shared" si="70"/>
        <v>742.69531176552482</v>
      </c>
      <c r="AC187" s="85">
        <f t="shared" si="71"/>
        <v>730.15941974803195</v>
      </c>
      <c r="AD187" s="41"/>
    </row>
    <row r="188" spans="17:30" hidden="1" x14ac:dyDescent="0.35">
      <c r="Q188" s="3" t="str">
        <f t="shared" si="62"/>
        <v>Valkas novads</v>
      </c>
      <c r="R188" s="3"/>
      <c r="S188" s="85">
        <f t="shared" si="63"/>
        <v>1778.7292433976233</v>
      </c>
      <c r="T188" s="85">
        <f t="shared" si="64"/>
        <v>1953.6530702602429</v>
      </c>
      <c r="U188" s="85">
        <f t="shared" si="65"/>
        <v>1890.5840314654392</v>
      </c>
      <c r="V188" s="85">
        <f t="shared" si="66"/>
        <v>1895.0850172215694</v>
      </c>
      <c r="W188" s="85">
        <f t="shared" si="67"/>
        <v>1889.622901152582</v>
      </c>
      <c r="X188" s="85">
        <f t="shared" si="68"/>
        <v>1920.3014252409798</v>
      </c>
      <c r="Y188" s="85">
        <f t="shared" si="72"/>
        <v>2002.3123456455148</v>
      </c>
      <c r="Z188" s="85">
        <f t="shared" si="72"/>
        <v>1931.7014819988756</v>
      </c>
      <c r="AA188" s="85">
        <f t="shared" si="69"/>
        <v>1969.3780671955085</v>
      </c>
      <c r="AB188" s="85">
        <f t="shared" si="70"/>
        <v>1977.9177175191371</v>
      </c>
      <c r="AC188" s="85">
        <f t="shared" si="71"/>
        <v>1973.990443480388</v>
      </c>
      <c r="AD188" s="41"/>
    </row>
    <row r="189" spans="17:30" hidden="1" x14ac:dyDescent="0.35">
      <c r="Q189" s="3" t="str">
        <f t="shared" si="62"/>
        <v>Valmiera</v>
      </c>
      <c r="R189" s="3"/>
      <c r="S189" s="85">
        <f t="shared" si="63"/>
        <v>9726.1244842739998</v>
      </c>
      <c r="T189" s="85">
        <f t="shared" si="64"/>
        <v>10627.353063332001</v>
      </c>
      <c r="U189" s="85">
        <f t="shared" si="65"/>
        <v>10931.330406532801</v>
      </c>
      <c r="V189" s="85">
        <f t="shared" si="66"/>
        <v>11137.716831976</v>
      </c>
      <c r="W189" s="85">
        <f t="shared" si="67"/>
        <v>11487.250381273801</v>
      </c>
      <c r="X189" s="85">
        <f t="shared" si="68"/>
        <v>11171.514868532</v>
      </c>
      <c r="Y189" s="85">
        <f t="shared" si="72"/>
        <v>11655.846194258653</v>
      </c>
      <c r="Z189" s="85">
        <f t="shared" si="72"/>
        <v>11223.705223351475</v>
      </c>
      <c r="AA189" s="85">
        <f t="shared" si="69"/>
        <v>11427.938726039281</v>
      </c>
      <c r="AB189" s="85">
        <f t="shared" si="70"/>
        <v>11594.773434252158</v>
      </c>
      <c r="AC189" s="85">
        <f t="shared" si="71"/>
        <v>11697.234819597101</v>
      </c>
      <c r="AD189" s="41"/>
    </row>
    <row r="190" spans="17:30" hidden="1" x14ac:dyDescent="0.35">
      <c r="Q190" s="3" t="str">
        <f t="shared" si="62"/>
        <v>Varakļānu novads</v>
      </c>
      <c r="R190" s="3"/>
      <c r="S190" s="85">
        <f t="shared" si="63"/>
        <v>694.5324168555386</v>
      </c>
      <c r="T190" s="85">
        <f t="shared" si="64"/>
        <v>765.54157127579924</v>
      </c>
      <c r="U190" s="85">
        <f t="shared" si="65"/>
        <v>744.64040861964224</v>
      </c>
      <c r="V190" s="85">
        <f t="shared" si="66"/>
        <v>747.81260263562478</v>
      </c>
      <c r="W190" s="85">
        <f t="shared" si="67"/>
        <v>755.00400672216472</v>
      </c>
      <c r="X190" s="85">
        <f t="shared" si="68"/>
        <v>769.79189349222429</v>
      </c>
      <c r="Y190" s="85">
        <f t="shared" si="72"/>
        <v>795.51046909681406</v>
      </c>
      <c r="Z190" s="85">
        <f t="shared" si="72"/>
        <v>757.94898076868958</v>
      </c>
      <c r="AA190" s="85">
        <f t="shared" si="69"/>
        <v>763.53586201826909</v>
      </c>
      <c r="AB190" s="85">
        <f t="shared" si="70"/>
        <v>775.54840387407955</v>
      </c>
      <c r="AC190" s="85">
        <f t="shared" si="71"/>
        <v>783.30745677999619</v>
      </c>
      <c r="AD190" s="41"/>
    </row>
    <row r="191" spans="17:30" hidden="1" x14ac:dyDescent="0.35">
      <c r="Q191" s="3" t="str">
        <f t="shared" si="62"/>
        <v>Vecpiebalgas novads</v>
      </c>
      <c r="R191" s="3"/>
      <c r="S191" s="85">
        <f t="shared" si="63"/>
        <v>816.04067363951538</v>
      </c>
      <c r="T191" s="85">
        <f t="shared" si="64"/>
        <v>908.72828637451278</v>
      </c>
      <c r="U191" s="85">
        <f t="shared" si="65"/>
        <v>879.96877030590656</v>
      </c>
      <c r="V191" s="85">
        <f t="shared" si="66"/>
        <v>882.11177062351192</v>
      </c>
      <c r="W191" s="85">
        <f t="shared" si="67"/>
        <v>867.69117190457735</v>
      </c>
      <c r="X191" s="85">
        <f t="shared" si="68"/>
        <v>888.50501116679141</v>
      </c>
      <c r="Y191" s="85">
        <f t="shared" si="72"/>
        <v>922.2819345582501</v>
      </c>
      <c r="Z191" s="85">
        <f t="shared" si="72"/>
        <v>916.32637973528142</v>
      </c>
      <c r="AA191" s="85">
        <f t="shared" si="69"/>
        <v>936.98424629338695</v>
      </c>
      <c r="AB191" s="85">
        <f t="shared" si="70"/>
        <v>944.12246666059821</v>
      </c>
      <c r="AC191" s="85">
        <f t="shared" si="71"/>
        <v>945.53418761578223</v>
      </c>
      <c r="AD191" s="41"/>
    </row>
    <row r="192" spans="17:30" hidden="1" x14ac:dyDescent="0.35">
      <c r="Q192" s="3" t="str">
        <f t="shared" si="62"/>
        <v>Aizputes novads</v>
      </c>
      <c r="R192" s="3"/>
      <c r="S192" s="85">
        <f t="shared" si="63"/>
        <v>2001.9953178395322</v>
      </c>
      <c r="T192" s="85">
        <f t="shared" si="64"/>
        <v>2057.9337153541728</v>
      </c>
      <c r="U192" s="85">
        <f t="shared" si="65"/>
        <v>1978.1906090499019</v>
      </c>
      <c r="V192" s="85">
        <f t="shared" si="66"/>
        <v>2049.1136079537964</v>
      </c>
      <c r="W192" s="85">
        <f t="shared" si="67"/>
        <v>2165.2990003096888</v>
      </c>
      <c r="X192" s="85">
        <f t="shared" si="68"/>
        <v>2081.8378312351392</v>
      </c>
      <c r="Y192" s="85">
        <f t="shared" si="72"/>
        <v>2164.0636405018781</v>
      </c>
      <c r="Z192" s="85">
        <f t="shared" si="72"/>
        <v>2089.7216714128081</v>
      </c>
      <c r="AA192" s="85">
        <f t="shared" si="69"/>
        <v>2126.2377665300733</v>
      </c>
      <c r="AB192" s="85">
        <f t="shared" si="70"/>
        <v>2159.2220667891875</v>
      </c>
      <c r="AC192" s="85">
        <f t="shared" si="71"/>
        <v>2180.3194097046439</v>
      </c>
      <c r="AD192" s="41"/>
    </row>
    <row r="193" spans="17:30" hidden="1" x14ac:dyDescent="0.35">
      <c r="Q193" s="3" t="str">
        <f t="shared" si="62"/>
        <v>Alsungas novads</v>
      </c>
      <c r="R193" s="3"/>
      <c r="S193" s="85">
        <f t="shared" si="63"/>
        <v>319.00646703934837</v>
      </c>
      <c r="T193" s="85">
        <f t="shared" si="64"/>
        <v>331.1669904349173</v>
      </c>
      <c r="U193" s="85">
        <f t="shared" si="65"/>
        <v>315.33467324267269</v>
      </c>
      <c r="V193" s="85">
        <f t="shared" si="66"/>
        <v>326.02751625514009</v>
      </c>
      <c r="W193" s="85">
        <f t="shared" si="67"/>
        <v>341.26167745682346</v>
      </c>
      <c r="X193" s="85">
        <f t="shared" si="68"/>
        <v>329.40629717448883</v>
      </c>
      <c r="Y193" s="85">
        <f t="shared" si="72"/>
        <v>340.512455152212</v>
      </c>
      <c r="Z193" s="85">
        <f t="shared" si="72"/>
        <v>332.73386788600715</v>
      </c>
      <c r="AA193" s="85">
        <f t="shared" si="69"/>
        <v>342.75489419629906</v>
      </c>
      <c r="AB193" s="85">
        <f t="shared" si="70"/>
        <v>347.27986425328243</v>
      </c>
      <c r="AC193" s="85">
        <f t="shared" si="71"/>
        <v>350.12428477008882</v>
      </c>
      <c r="AD193" s="41"/>
    </row>
    <row r="194" spans="17:30" hidden="1" x14ac:dyDescent="0.35">
      <c r="Q194" s="3" t="str">
        <f t="shared" si="62"/>
        <v>Brocēnu novads</v>
      </c>
      <c r="R194" s="3"/>
      <c r="S194" s="85">
        <f t="shared" si="63"/>
        <v>1308.626666229316</v>
      </c>
      <c r="T194" s="85">
        <f t="shared" si="64"/>
        <v>1329.2294905335389</v>
      </c>
      <c r="U194" s="85">
        <f t="shared" si="65"/>
        <v>1288.2846643424164</v>
      </c>
      <c r="V194" s="85">
        <f t="shared" si="66"/>
        <v>1338.552914060539</v>
      </c>
      <c r="W194" s="85">
        <f t="shared" si="67"/>
        <v>1410.2099652825466</v>
      </c>
      <c r="X194" s="85">
        <f t="shared" si="68"/>
        <v>1400.8488674092105</v>
      </c>
      <c r="Y194" s="85">
        <f t="shared" si="72"/>
        <v>1488.3220886947731</v>
      </c>
      <c r="Z194" s="85">
        <f t="shared" si="72"/>
        <v>1449.4958152735253</v>
      </c>
      <c r="AA194" s="85">
        <f t="shared" si="69"/>
        <v>1492.0228395099068</v>
      </c>
      <c r="AB194" s="85">
        <f t="shared" si="70"/>
        <v>1509.7706774579319</v>
      </c>
      <c r="AC194" s="85">
        <f t="shared" si="71"/>
        <v>1518.8804698160154</v>
      </c>
      <c r="AD194" s="41"/>
    </row>
    <row r="195" spans="17:30" hidden="1" x14ac:dyDescent="0.35">
      <c r="Q195" s="3" t="str">
        <f t="shared" si="62"/>
        <v>Dundagas novads</v>
      </c>
      <c r="R195" s="3"/>
      <c r="S195" s="85">
        <f t="shared" si="63"/>
        <v>917.41708936624673</v>
      </c>
      <c r="T195" s="85">
        <f t="shared" si="64"/>
        <v>944.2364603309627</v>
      </c>
      <c r="U195" s="85">
        <f t="shared" si="65"/>
        <v>899.46097826776463</v>
      </c>
      <c r="V195" s="85">
        <f t="shared" si="66"/>
        <v>934.91103250298136</v>
      </c>
      <c r="W195" s="85">
        <f t="shared" si="67"/>
        <v>975.83078921854508</v>
      </c>
      <c r="X195" s="85">
        <f t="shared" si="68"/>
        <v>931.90586341345556</v>
      </c>
      <c r="Y195" s="85">
        <f t="shared" si="72"/>
        <v>961.83541443693105</v>
      </c>
      <c r="Z195" s="85">
        <f t="shared" si="72"/>
        <v>909.72754070289159</v>
      </c>
      <c r="AA195" s="85">
        <f t="shared" si="69"/>
        <v>917.25734156753254</v>
      </c>
      <c r="AB195" s="85">
        <f t="shared" si="70"/>
        <v>932.3295886173803</v>
      </c>
      <c r="AC195" s="85">
        <f t="shared" si="71"/>
        <v>942.04093844838894</v>
      </c>
      <c r="AD195" s="41"/>
    </row>
    <row r="196" spans="17:30" hidden="1" x14ac:dyDescent="0.35">
      <c r="Q196" s="3" t="str">
        <f t="shared" si="62"/>
        <v>Durbes novads</v>
      </c>
      <c r="R196" s="3"/>
      <c r="S196" s="85">
        <f t="shared" si="63"/>
        <v>649.60919111099133</v>
      </c>
      <c r="T196" s="85">
        <f t="shared" si="64"/>
        <v>666.21128034462367</v>
      </c>
      <c r="U196" s="85">
        <f t="shared" si="65"/>
        <v>635.56861400747721</v>
      </c>
      <c r="V196" s="85">
        <f t="shared" si="66"/>
        <v>655.12186153438779</v>
      </c>
      <c r="W196" s="85">
        <f t="shared" si="67"/>
        <v>692.41867492912365</v>
      </c>
      <c r="X196" s="85">
        <f t="shared" si="68"/>
        <v>668.03198390681132</v>
      </c>
      <c r="Y196" s="85">
        <f t="shared" ref="Y196:Z215" si="73">((-0.0000000006)*$Z$130 + 0.0461)*Y66</f>
        <v>693.70497069798978</v>
      </c>
      <c r="Z196" s="85">
        <f t="shared" si="73"/>
        <v>680.0009391969204</v>
      </c>
      <c r="AA196" s="85">
        <f t="shared" si="69"/>
        <v>689.19249638856763</v>
      </c>
      <c r="AB196" s="85">
        <f t="shared" si="70"/>
        <v>696.46188738745138</v>
      </c>
      <c r="AC196" s="85">
        <f t="shared" si="71"/>
        <v>699.69015760274522</v>
      </c>
      <c r="AD196" s="41"/>
    </row>
    <row r="197" spans="17:30" hidden="1" x14ac:dyDescent="0.35">
      <c r="Q197" s="3" t="str">
        <f t="shared" si="62"/>
        <v>Grobiņas novads</v>
      </c>
      <c r="R197" s="3"/>
      <c r="S197" s="85">
        <f t="shared" si="63"/>
        <v>2000.6825340245555</v>
      </c>
      <c r="T197" s="85">
        <f t="shared" si="64"/>
        <v>2064.3198556655902</v>
      </c>
      <c r="U197" s="85">
        <f t="shared" si="65"/>
        <v>1988.4345320507232</v>
      </c>
      <c r="V197" s="85">
        <f t="shared" si="66"/>
        <v>2067.7504920233737</v>
      </c>
      <c r="W197" s="85">
        <f t="shared" si="67"/>
        <v>2185.8508188033711</v>
      </c>
      <c r="X197" s="85">
        <f t="shared" si="68"/>
        <v>2112.7352448884199</v>
      </c>
      <c r="Y197" s="85">
        <f t="shared" si="73"/>
        <v>2217.4255613248006</v>
      </c>
      <c r="Z197" s="85">
        <f t="shared" si="73"/>
        <v>2141.2253046028263</v>
      </c>
      <c r="AA197" s="85">
        <f t="shared" si="69"/>
        <v>2190.9482070306794</v>
      </c>
      <c r="AB197" s="85">
        <f t="shared" si="70"/>
        <v>2224.438942705297</v>
      </c>
      <c r="AC197" s="85">
        <f t="shared" si="71"/>
        <v>2245.65360638423</v>
      </c>
      <c r="AD197" s="41"/>
    </row>
    <row r="198" spans="17:30" hidden="1" x14ac:dyDescent="0.35">
      <c r="Q198" s="3" t="str">
        <f t="shared" si="62"/>
        <v>Kuldīgas novads</v>
      </c>
      <c r="R198" s="3"/>
      <c r="S198" s="85">
        <f t="shared" si="63"/>
        <v>5369.06700595238</v>
      </c>
      <c r="T198" s="85">
        <f t="shared" si="64"/>
        <v>5517.1690761850214</v>
      </c>
      <c r="U198" s="85">
        <f t="shared" si="65"/>
        <v>5321.9406929049364</v>
      </c>
      <c r="V198" s="85">
        <f t="shared" si="66"/>
        <v>5547.42188476094</v>
      </c>
      <c r="W198" s="85">
        <f t="shared" si="67"/>
        <v>5832.9105598921305</v>
      </c>
      <c r="X198" s="85">
        <f t="shared" si="68"/>
        <v>5638.777991723663</v>
      </c>
      <c r="Y198" s="85">
        <f t="shared" si="73"/>
        <v>5894.3789075339855</v>
      </c>
      <c r="Z198" s="85">
        <f t="shared" si="73"/>
        <v>5663.8698400151434</v>
      </c>
      <c r="AA198" s="85">
        <f t="shared" si="69"/>
        <v>5762.6488619787606</v>
      </c>
      <c r="AB198" s="85">
        <f t="shared" si="70"/>
        <v>5861.3667229603298</v>
      </c>
      <c r="AC198" s="85">
        <f t="shared" si="71"/>
        <v>5928.6595397193505</v>
      </c>
      <c r="AD198" s="41"/>
    </row>
    <row r="199" spans="17:30" hidden="1" x14ac:dyDescent="0.35">
      <c r="Q199" s="3" t="str">
        <f t="shared" si="62"/>
        <v>Liepāja</v>
      </c>
      <c r="R199" s="3"/>
      <c r="S199" s="85">
        <f t="shared" si="63"/>
        <v>23295.340365373999</v>
      </c>
      <c r="T199" s="85">
        <f t="shared" si="64"/>
        <v>22499.730435345202</v>
      </c>
      <c r="U199" s="85">
        <f t="shared" si="65"/>
        <v>23450.784833752401</v>
      </c>
      <c r="V199" s="85">
        <f t="shared" si="66"/>
        <v>24616.821287394403</v>
      </c>
      <c r="W199" s="85">
        <f t="shared" si="67"/>
        <v>24983.870055864001</v>
      </c>
      <c r="X199" s="85">
        <f t="shared" si="68"/>
        <v>25672.241581497601</v>
      </c>
      <c r="Y199" s="85">
        <f t="shared" si="73"/>
        <v>26785.239321362355</v>
      </c>
      <c r="Z199" s="85">
        <f t="shared" si="73"/>
        <v>25792.175485978514</v>
      </c>
      <c r="AA199" s="85">
        <f t="shared" si="69"/>
        <v>26261.50591087959</v>
      </c>
      <c r="AB199" s="85">
        <f t="shared" si="70"/>
        <v>26644.893569923403</v>
      </c>
      <c r="AC199" s="85">
        <f t="shared" si="71"/>
        <v>26880.350754406027</v>
      </c>
      <c r="AD199" s="41"/>
    </row>
    <row r="200" spans="17:30" hidden="1" x14ac:dyDescent="0.35">
      <c r="Q200" s="3" t="str">
        <f t="shared" ref="Q200:Q231" si="74">Q70</f>
        <v>Mērsraga novads</v>
      </c>
      <c r="R200" s="3"/>
      <c r="S200" s="85">
        <f t="shared" ref="S200:S231" si="75">((-0.0000000006)*$S$130 + 0.0461)*S70</f>
        <v>351.38846780877469</v>
      </c>
      <c r="T200" s="85">
        <f t="shared" ref="T200:T231" si="76">((-0.0000000006)*$T$130 + 0.0461)*T70</f>
        <v>368.34345010495281</v>
      </c>
      <c r="U200" s="85">
        <f t="shared" ref="U200:U231" si="77">((-0.0000000006)*$U$130 + 0.0461)*U70</f>
        <v>352.30187363694074</v>
      </c>
      <c r="V200" s="85">
        <f t="shared" ref="V200:V231" si="78">((-0.0000000006)*$V$130 + 0.0461)*V70</f>
        <v>366.60402334333406</v>
      </c>
      <c r="W200" s="85">
        <f t="shared" ref="W200:W231" si="79">((-0.0000000006)*$W$130 + 0.0461)*W70</f>
        <v>385.91748060358992</v>
      </c>
      <c r="X200" s="85">
        <f t="shared" ref="X200:X231" si="80">((-0.0000000006)*$X$130 + 0.0461)*X70</f>
        <v>368.27723693184157</v>
      </c>
      <c r="Y200" s="85">
        <f t="shared" si="73"/>
        <v>380.13764388210484</v>
      </c>
      <c r="Z200" s="85">
        <f t="shared" si="73"/>
        <v>370.72417157567384</v>
      </c>
      <c r="AA200" s="85">
        <f t="shared" ref="AA200:AA231" si="81">((-0.0000000006)*$AA$130 + 0.0461)*AA70</f>
        <v>376.42536730230546</v>
      </c>
      <c r="AB200" s="85">
        <f t="shared" ref="AB200:AB231" si="82">((-0.0000000006)*$AB$130 + 0.0461)*AB70</f>
        <v>382.60567204117496</v>
      </c>
      <c r="AC200" s="85">
        <f t="shared" ref="AC200:AC231" si="83">((-0.0000000006)*$AC$130 + 0.0461)*AC70</f>
        <v>386.70026667190831</v>
      </c>
      <c r="AD200" s="41"/>
    </row>
    <row r="201" spans="17:30" hidden="1" x14ac:dyDescent="0.35">
      <c r="Q201" s="3" t="str">
        <f t="shared" si="74"/>
        <v>Nīcas novads</v>
      </c>
      <c r="R201" s="3"/>
      <c r="S201" s="85">
        <f t="shared" si="75"/>
        <v>771.69808590382843</v>
      </c>
      <c r="T201" s="85">
        <f t="shared" si="76"/>
        <v>794.1621630126599</v>
      </c>
      <c r="U201" s="85">
        <f t="shared" si="77"/>
        <v>761.39071173495608</v>
      </c>
      <c r="V201" s="85">
        <f t="shared" si="78"/>
        <v>782.27731107239117</v>
      </c>
      <c r="W201" s="85">
        <f t="shared" si="79"/>
        <v>831.71433360852598</v>
      </c>
      <c r="X201" s="85">
        <f t="shared" si="80"/>
        <v>799.59516462400506</v>
      </c>
      <c r="Y201" s="85">
        <f t="shared" si="73"/>
        <v>832.65729917748047</v>
      </c>
      <c r="Z201" s="85">
        <f t="shared" si="73"/>
        <v>793.46191330364309</v>
      </c>
      <c r="AA201" s="85">
        <f t="shared" si="81"/>
        <v>818.87642796092018</v>
      </c>
      <c r="AB201" s="85">
        <f t="shared" si="82"/>
        <v>830.97169396442689</v>
      </c>
      <c r="AC201" s="85">
        <f t="shared" si="83"/>
        <v>838.45552405468641</v>
      </c>
      <c r="AD201" s="41"/>
    </row>
    <row r="202" spans="17:30" hidden="1" x14ac:dyDescent="0.35">
      <c r="Q202" s="3" t="str">
        <f t="shared" si="74"/>
        <v>Pāvilostas novads</v>
      </c>
      <c r="R202" s="3"/>
      <c r="S202" s="85">
        <f t="shared" si="75"/>
        <v>616.78959573657278</v>
      </c>
      <c r="T202" s="85">
        <f t="shared" si="76"/>
        <v>625.38559763949263</v>
      </c>
      <c r="U202" s="85">
        <f t="shared" si="77"/>
        <v>601.49643533083247</v>
      </c>
      <c r="V202" s="85">
        <f t="shared" si="78"/>
        <v>627.04858046755601</v>
      </c>
      <c r="W202" s="85">
        <f t="shared" si="79"/>
        <v>663.74761949966557</v>
      </c>
      <c r="X202" s="85">
        <f t="shared" si="80"/>
        <v>641.61967868707166</v>
      </c>
      <c r="Y202" s="85">
        <f t="shared" si="73"/>
        <v>668.87318576059022</v>
      </c>
      <c r="Z202" s="85">
        <f t="shared" si="73"/>
        <v>662.15314551721121</v>
      </c>
      <c r="AA202" s="85">
        <f t="shared" si="81"/>
        <v>668.93760241073562</v>
      </c>
      <c r="AB202" s="85">
        <f t="shared" si="82"/>
        <v>678.79898349350503</v>
      </c>
      <c r="AC202" s="85">
        <f t="shared" si="83"/>
        <v>684.89224126078773</v>
      </c>
      <c r="AD202" s="41"/>
    </row>
    <row r="203" spans="17:30" hidden="1" x14ac:dyDescent="0.35">
      <c r="Q203" s="3" t="str">
        <f t="shared" si="74"/>
        <v>Priekules novads</v>
      </c>
      <c r="R203" s="3"/>
      <c r="S203" s="85">
        <f t="shared" si="75"/>
        <v>1257.4280974452231</v>
      </c>
      <c r="T203" s="85">
        <f t="shared" si="76"/>
        <v>1291.5968779841162</v>
      </c>
      <c r="U203" s="85">
        <f t="shared" si="77"/>
        <v>1237.0650493383098</v>
      </c>
      <c r="V203" s="85">
        <f t="shared" si="78"/>
        <v>1273.677684704415</v>
      </c>
      <c r="W203" s="85">
        <f t="shared" si="79"/>
        <v>1353.8827590406024</v>
      </c>
      <c r="X203" s="85">
        <f t="shared" si="80"/>
        <v>1296.4455099840131</v>
      </c>
      <c r="Y203" s="85">
        <f t="shared" si="73"/>
        <v>1338.5388752957783</v>
      </c>
      <c r="Z203" s="85">
        <f t="shared" si="73"/>
        <v>1291.6703254486683</v>
      </c>
      <c r="AA203" s="85">
        <f t="shared" si="81"/>
        <v>1303.415580002043</v>
      </c>
      <c r="AB203" s="85">
        <f t="shared" si="82"/>
        <v>1322.815633165085</v>
      </c>
      <c r="AC203" s="85">
        <f t="shared" si="83"/>
        <v>1334.883736432053</v>
      </c>
      <c r="AD203" s="41"/>
    </row>
    <row r="204" spans="17:30" hidden="1" x14ac:dyDescent="0.35">
      <c r="Q204" s="3" t="str">
        <f t="shared" si="74"/>
        <v>Rojas novads</v>
      </c>
      <c r="R204" s="3"/>
      <c r="S204" s="85">
        <f t="shared" si="75"/>
        <v>860.52979071725463</v>
      </c>
      <c r="T204" s="85">
        <f t="shared" si="76"/>
        <v>878.3223692595501</v>
      </c>
      <c r="U204" s="85">
        <f t="shared" si="77"/>
        <v>846.01442348087107</v>
      </c>
      <c r="V204" s="85">
        <f t="shared" si="78"/>
        <v>884.66221849260148</v>
      </c>
      <c r="W204" s="85">
        <f t="shared" si="79"/>
        <v>923.05574913600287</v>
      </c>
      <c r="X204" s="85">
        <f t="shared" si="80"/>
        <v>878.83208028322406</v>
      </c>
      <c r="Y204" s="85">
        <f t="shared" si="73"/>
        <v>905.30347851561714</v>
      </c>
      <c r="Z204" s="85">
        <f t="shared" si="73"/>
        <v>876.07170119258285</v>
      </c>
      <c r="AA204" s="85">
        <f t="shared" si="81"/>
        <v>891.74143616688707</v>
      </c>
      <c r="AB204" s="85">
        <f t="shared" si="82"/>
        <v>904.34067937004988</v>
      </c>
      <c r="AC204" s="85">
        <f t="shared" si="83"/>
        <v>911.88669382704154</v>
      </c>
      <c r="AD204" s="41"/>
    </row>
    <row r="205" spans="17:30" hidden="1" x14ac:dyDescent="0.35">
      <c r="Q205" s="3" t="str">
        <f t="shared" si="74"/>
        <v>Rucavas novads</v>
      </c>
      <c r="R205" s="3"/>
      <c r="S205" s="85">
        <f t="shared" si="75"/>
        <v>378.08173871330183</v>
      </c>
      <c r="T205" s="85">
        <f t="shared" si="76"/>
        <v>390.23878831552588</v>
      </c>
      <c r="U205" s="85">
        <f t="shared" si="77"/>
        <v>374.3485774865344</v>
      </c>
      <c r="V205" s="85">
        <f t="shared" si="78"/>
        <v>389.25137613674468</v>
      </c>
      <c r="W205" s="85">
        <f t="shared" si="79"/>
        <v>412.55872679910408</v>
      </c>
      <c r="X205" s="85">
        <f t="shared" si="80"/>
        <v>383.2275983769772</v>
      </c>
      <c r="Y205" s="85">
        <f t="shared" si="73"/>
        <v>390.4401929518769</v>
      </c>
      <c r="Z205" s="85">
        <f t="shared" si="73"/>
        <v>383.21762715147025</v>
      </c>
      <c r="AA205" s="85">
        <f t="shared" si="81"/>
        <v>395.89110956671539</v>
      </c>
      <c r="AB205" s="85">
        <f t="shared" si="82"/>
        <v>397.55120610528337</v>
      </c>
      <c r="AC205" s="85">
        <f t="shared" si="83"/>
        <v>396.75168154569076</v>
      </c>
      <c r="AD205" s="41"/>
    </row>
    <row r="206" spans="17:30" hidden="1" x14ac:dyDescent="0.35">
      <c r="Q206" s="3" t="str">
        <f t="shared" si="74"/>
        <v>Saldus novads</v>
      </c>
      <c r="R206" s="3"/>
      <c r="S206" s="85">
        <f t="shared" si="75"/>
        <v>5450.0220078759457</v>
      </c>
      <c r="T206" s="85">
        <f t="shared" si="76"/>
        <v>5586.5043138518358</v>
      </c>
      <c r="U206" s="85">
        <f t="shared" si="77"/>
        <v>5364.0298547996154</v>
      </c>
      <c r="V206" s="85">
        <f t="shared" si="78"/>
        <v>5581.8647338009187</v>
      </c>
      <c r="W206" s="85">
        <f t="shared" si="79"/>
        <v>5836.9701783600176</v>
      </c>
      <c r="X206" s="85">
        <f t="shared" si="80"/>
        <v>5586.9500720471933</v>
      </c>
      <c r="Y206" s="85">
        <f t="shared" si="73"/>
        <v>5813.2793546001385</v>
      </c>
      <c r="Z206" s="85">
        <f t="shared" si="73"/>
        <v>5552.7035822386697</v>
      </c>
      <c r="AA206" s="85">
        <f t="shared" si="81"/>
        <v>5639.2781441137831</v>
      </c>
      <c r="AB206" s="85">
        <f t="shared" si="82"/>
        <v>5705.3896947276353</v>
      </c>
      <c r="AC206" s="85">
        <f t="shared" si="83"/>
        <v>5738.7994809923484</v>
      </c>
      <c r="AD206" s="41"/>
    </row>
    <row r="207" spans="17:30" hidden="1" x14ac:dyDescent="0.35">
      <c r="Q207" s="3" t="str">
        <f t="shared" si="74"/>
        <v>Skrundas novads</v>
      </c>
      <c r="R207" s="3"/>
      <c r="S207" s="85">
        <f t="shared" si="75"/>
        <v>1148.2482434996573</v>
      </c>
      <c r="T207" s="85">
        <f t="shared" si="76"/>
        <v>1172.7690529038189</v>
      </c>
      <c r="U207" s="85">
        <f t="shared" si="77"/>
        <v>1131.7307976124735</v>
      </c>
      <c r="V207" s="85">
        <f t="shared" si="78"/>
        <v>1161.1486505121561</v>
      </c>
      <c r="W207" s="85">
        <f t="shared" si="79"/>
        <v>1218.3929926748449</v>
      </c>
      <c r="X207" s="85">
        <f t="shared" si="80"/>
        <v>1182.8227630009824</v>
      </c>
      <c r="Y207" s="85">
        <f t="shared" si="73"/>
        <v>1231.2866978002019</v>
      </c>
      <c r="Z207" s="85">
        <f t="shared" si="73"/>
        <v>1170.8152653889233</v>
      </c>
      <c r="AA207" s="85">
        <f t="shared" si="81"/>
        <v>1190.5668849826936</v>
      </c>
      <c r="AB207" s="85">
        <f t="shared" si="82"/>
        <v>1207.8708893629423</v>
      </c>
      <c r="AC207" s="85">
        <f t="shared" si="83"/>
        <v>1218.7340534461225</v>
      </c>
      <c r="AD207" s="41"/>
    </row>
    <row r="208" spans="17:30" hidden="1" x14ac:dyDescent="0.35">
      <c r="Q208" s="3" t="str">
        <f t="shared" si="74"/>
        <v>Talsu novads</v>
      </c>
      <c r="R208" s="3"/>
      <c r="S208" s="85">
        <f t="shared" si="75"/>
        <v>6635.6845901024408</v>
      </c>
      <c r="T208" s="85">
        <f t="shared" si="76"/>
        <v>6784.58985156163</v>
      </c>
      <c r="U208" s="85">
        <f t="shared" si="77"/>
        <v>6557.669578373575</v>
      </c>
      <c r="V208" s="85">
        <f t="shared" si="78"/>
        <v>6842.3314627091768</v>
      </c>
      <c r="W208" s="85">
        <f t="shared" si="79"/>
        <v>7212.1659343570318</v>
      </c>
      <c r="X208" s="85">
        <f t="shared" si="80"/>
        <v>6994.5266021067146</v>
      </c>
      <c r="Y208" s="85">
        <f t="shared" si="73"/>
        <v>7325.3765565328467</v>
      </c>
      <c r="Z208" s="85">
        <f t="shared" si="73"/>
        <v>7059.8222742495418</v>
      </c>
      <c r="AA208" s="85">
        <f t="shared" si="81"/>
        <v>7205.2181941142208</v>
      </c>
      <c r="AB208" s="85">
        <f t="shared" si="82"/>
        <v>7309.4531052809416</v>
      </c>
      <c r="AC208" s="85">
        <f t="shared" si="83"/>
        <v>7372.9920158881459</v>
      </c>
      <c r="AD208" s="41"/>
    </row>
    <row r="209" spans="17:30" hidden="1" x14ac:dyDescent="0.35">
      <c r="Q209" s="3" t="str">
        <f t="shared" si="74"/>
        <v>Vaiņodes novads</v>
      </c>
      <c r="R209" s="3"/>
      <c r="S209" s="85">
        <f t="shared" si="75"/>
        <v>565.15343234748752</v>
      </c>
      <c r="T209" s="85">
        <f t="shared" si="76"/>
        <v>574.75262802754253</v>
      </c>
      <c r="U209" s="85">
        <f t="shared" si="77"/>
        <v>549.83143237016861</v>
      </c>
      <c r="V209" s="85">
        <f t="shared" si="78"/>
        <v>573.02520765827444</v>
      </c>
      <c r="W209" s="85">
        <f t="shared" si="79"/>
        <v>608.18159172045046</v>
      </c>
      <c r="X209" s="85">
        <f t="shared" si="80"/>
        <v>582.31657828803361</v>
      </c>
      <c r="Y209" s="85">
        <f t="shared" si="73"/>
        <v>603.6237083187001</v>
      </c>
      <c r="Z209" s="85">
        <f t="shared" si="73"/>
        <v>580.30826307168763</v>
      </c>
      <c r="AA209" s="85">
        <f t="shared" si="81"/>
        <v>582.9200656477351</v>
      </c>
      <c r="AB209" s="85">
        <f t="shared" si="82"/>
        <v>592.65835988764388</v>
      </c>
      <c r="AC209" s="85">
        <f t="shared" si="83"/>
        <v>598.89680289620458</v>
      </c>
      <c r="AD209" s="41"/>
    </row>
    <row r="210" spans="17:30" hidden="1" x14ac:dyDescent="0.35">
      <c r="Q210" s="3" t="str">
        <f t="shared" si="74"/>
        <v>Ventspils</v>
      </c>
      <c r="R210" s="3"/>
      <c r="S210" s="85">
        <f t="shared" si="75"/>
        <v>16843.578167481999</v>
      </c>
      <c r="T210" s="85">
        <f t="shared" si="76"/>
        <v>15377.561838178</v>
      </c>
      <c r="U210" s="85">
        <f t="shared" si="77"/>
        <v>15780.5537648196</v>
      </c>
      <c r="V210" s="85">
        <f t="shared" si="78"/>
        <v>14627.088082420802</v>
      </c>
      <c r="W210" s="85">
        <f t="shared" si="79"/>
        <v>14457.188044453402</v>
      </c>
      <c r="X210" s="85">
        <f t="shared" si="80"/>
        <v>13449.7309171624</v>
      </c>
      <c r="Y210" s="85">
        <f t="shared" si="73"/>
        <v>14032.832321263382</v>
      </c>
      <c r="Z210" s="85">
        <f t="shared" si="73"/>
        <v>13512.564493186223</v>
      </c>
      <c r="AA210" s="85">
        <f t="shared" si="81"/>
        <v>13758.447499004709</v>
      </c>
      <c r="AB210" s="85">
        <f t="shared" si="82"/>
        <v>13959.304943989817</v>
      </c>
      <c r="AC210" s="85">
        <f t="shared" si="83"/>
        <v>14082.661362390239</v>
      </c>
      <c r="AD210" s="41"/>
    </row>
    <row r="211" spans="17:30" hidden="1" x14ac:dyDescent="0.35">
      <c r="Q211" s="3" t="str">
        <f t="shared" si="74"/>
        <v>Ventspils novads</v>
      </c>
      <c r="R211" s="3"/>
      <c r="S211" s="85">
        <f t="shared" si="75"/>
        <v>2644.8217925731437</v>
      </c>
      <c r="T211" s="85">
        <f t="shared" si="76"/>
        <v>2704.7584983248516</v>
      </c>
      <c r="U211" s="85">
        <f t="shared" si="77"/>
        <v>2604.8514639262303</v>
      </c>
      <c r="V211" s="85">
        <f t="shared" si="78"/>
        <v>2701.1686404640768</v>
      </c>
      <c r="W211" s="85">
        <f t="shared" si="79"/>
        <v>2854.9266875421395</v>
      </c>
      <c r="X211" s="85">
        <f t="shared" si="80"/>
        <v>2756.0991324107576</v>
      </c>
      <c r="Y211" s="85">
        <f t="shared" si="73"/>
        <v>2886.0345791605246</v>
      </c>
      <c r="Z211" s="85">
        <f t="shared" si="73"/>
        <v>2788.3353097328541</v>
      </c>
      <c r="AA211" s="85">
        <f t="shared" si="81"/>
        <v>2834.8960051830509</v>
      </c>
      <c r="AB211" s="85">
        <f t="shared" si="82"/>
        <v>2883.1293894580017</v>
      </c>
      <c r="AC211" s="85">
        <f t="shared" si="83"/>
        <v>2915.7479313030603</v>
      </c>
      <c r="AD211" s="41"/>
    </row>
    <row r="212" spans="17:30" hidden="1" x14ac:dyDescent="0.35">
      <c r="Q212" s="3" t="str">
        <f t="shared" si="74"/>
        <v>Aizkraukles novads</v>
      </c>
      <c r="R212" s="3"/>
      <c r="S212" s="85">
        <f t="shared" si="75"/>
        <v>1749.0184207268187</v>
      </c>
      <c r="T212" s="85">
        <f t="shared" si="76"/>
        <v>1859.1376438038033</v>
      </c>
      <c r="U212" s="85">
        <f t="shared" si="77"/>
        <v>1881.1004547777568</v>
      </c>
      <c r="V212" s="85">
        <f t="shared" si="78"/>
        <v>1887.0087741296052</v>
      </c>
      <c r="W212" s="85">
        <f t="shared" si="79"/>
        <v>1865.1102410313617</v>
      </c>
      <c r="X212" s="85">
        <f t="shared" si="80"/>
        <v>1818.2898385364736</v>
      </c>
      <c r="Y212" s="85">
        <f t="shared" si="73"/>
        <v>1898.6433198104137</v>
      </c>
      <c r="Z212" s="85">
        <f t="shared" si="73"/>
        <v>1824.8023099995542</v>
      </c>
      <c r="AA212" s="85">
        <f t="shared" si="81"/>
        <v>1878.4328601427428</v>
      </c>
      <c r="AB212" s="85">
        <f t="shared" si="82"/>
        <v>1902.5712896043524</v>
      </c>
      <c r="AC212" s="85">
        <f t="shared" si="83"/>
        <v>1915.9722287100433</v>
      </c>
      <c r="AD212" s="41"/>
    </row>
    <row r="213" spans="17:30" hidden="1" x14ac:dyDescent="0.35">
      <c r="Q213" s="3" t="str">
        <f t="shared" si="74"/>
        <v>Aknīstes novads</v>
      </c>
      <c r="R213" s="3"/>
      <c r="S213" s="85">
        <f t="shared" si="75"/>
        <v>580.2022632366419</v>
      </c>
      <c r="T213" s="85">
        <f t="shared" si="76"/>
        <v>622.74186904880651</v>
      </c>
      <c r="U213" s="85">
        <f t="shared" si="77"/>
        <v>628.8072713047759</v>
      </c>
      <c r="V213" s="85">
        <f t="shared" si="78"/>
        <v>623.83426902272049</v>
      </c>
      <c r="W213" s="85">
        <f t="shared" si="79"/>
        <v>630.51389083315541</v>
      </c>
      <c r="X213" s="85">
        <f t="shared" si="80"/>
        <v>571.87787418668665</v>
      </c>
      <c r="Y213" s="85">
        <f t="shared" si="73"/>
        <v>588.77789359974497</v>
      </c>
      <c r="Z213" s="85">
        <f t="shared" si="73"/>
        <v>585.97491280962993</v>
      </c>
      <c r="AA213" s="85">
        <f t="shared" si="81"/>
        <v>596.54360258493489</v>
      </c>
      <c r="AB213" s="85">
        <f t="shared" si="82"/>
        <v>598.82784905875587</v>
      </c>
      <c r="AC213" s="85">
        <f t="shared" si="83"/>
        <v>597.42438493869895</v>
      </c>
      <c r="AD213" s="41"/>
    </row>
    <row r="214" spans="17:30" hidden="1" x14ac:dyDescent="0.35">
      <c r="Q214" s="3" t="str">
        <f t="shared" si="74"/>
        <v>Auces novads</v>
      </c>
      <c r="R214" s="3"/>
      <c r="S214" s="85">
        <f t="shared" si="75"/>
        <v>1420.5642572100453</v>
      </c>
      <c r="T214" s="85">
        <f t="shared" si="76"/>
        <v>1488.4785674728075</v>
      </c>
      <c r="U214" s="85">
        <f t="shared" si="77"/>
        <v>1499.2929367288064</v>
      </c>
      <c r="V214" s="85">
        <f t="shared" si="78"/>
        <v>1484.3030788526903</v>
      </c>
      <c r="W214" s="85">
        <f t="shared" si="79"/>
        <v>1448.7587179910515</v>
      </c>
      <c r="X214" s="85">
        <f t="shared" si="80"/>
        <v>1406.5467151975256</v>
      </c>
      <c r="Y214" s="85">
        <f t="shared" si="73"/>
        <v>1453.7521586353253</v>
      </c>
      <c r="Z214" s="85">
        <f t="shared" si="73"/>
        <v>1401.9267809183809</v>
      </c>
      <c r="AA214" s="85">
        <f t="shared" si="81"/>
        <v>1411.694896140704</v>
      </c>
      <c r="AB214" s="85">
        <f t="shared" si="82"/>
        <v>1420.4641229892522</v>
      </c>
      <c r="AC214" s="85">
        <f t="shared" si="83"/>
        <v>1420.9280391985985</v>
      </c>
      <c r="AD214" s="41"/>
    </row>
    <row r="215" spans="17:30" hidden="1" x14ac:dyDescent="0.35">
      <c r="Q215" s="3" t="str">
        <f t="shared" si="74"/>
        <v>Bauskas novads</v>
      </c>
      <c r="R215" s="3"/>
      <c r="S215" s="85">
        <f t="shared" si="75"/>
        <v>4996.1082701764826</v>
      </c>
      <c r="T215" s="85">
        <f t="shared" si="76"/>
        <v>5326.1956590119435</v>
      </c>
      <c r="U215" s="85">
        <f t="shared" si="77"/>
        <v>5389.6499121567322</v>
      </c>
      <c r="V215" s="85">
        <f t="shared" si="78"/>
        <v>5377.6491562369238</v>
      </c>
      <c r="W215" s="85">
        <f t="shared" si="79"/>
        <v>5283.3494679021869</v>
      </c>
      <c r="X215" s="85">
        <f t="shared" si="80"/>
        <v>5157.6361582398049</v>
      </c>
      <c r="Y215" s="85">
        <f t="shared" si="73"/>
        <v>5383.112170054811</v>
      </c>
      <c r="Z215" s="85">
        <f t="shared" si="73"/>
        <v>5128.645335483664</v>
      </c>
      <c r="AA215" s="85">
        <f t="shared" si="81"/>
        <v>5215.4218577918564</v>
      </c>
      <c r="AB215" s="85">
        <f t="shared" si="82"/>
        <v>5292.0625772952762</v>
      </c>
      <c r="AC215" s="85">
        <f t="shared" si="83"/>
        <v>5339.3874801637494</v>
      </c>
      <c r="AD215" s="41"/>
    </row>
    <row r="216" spans="17:30" hidden="1" x14ac:dyDescent="0.35">
      <c r="Q216" s="3" t="str">
        <f t="shared" si="74"/>
        <v>Dobeles novads</v>
      </c>
      <c r="R216" s="3"/>
      <c r="S216" s="85">
        <f t="shared" si="75"/>
        <v>4344.6074202252239</v>
      </c>
      <c r="T216" s="85">
        <f t="shared" si="76"/>
        <v>4591.152528657949</v>
      </c>
      <c r="U216" s="85">
        <f t="shared" si="77"/>
        <v>4629.1390022218302</v>
      </c>
      <c r="V216" s="85">
        <f t="shared" si="78"/>
        <v>4600.7777340425628</v>
      </c>
      <c r="W216" s="85">
        <f t="shared" si="79"/>
        <v>4536.2661870045713</v>
      </c>
      <c r="X216" s="85">
        <f t="shared" si="80"/>
        <v>4421.1504954722031</v>
      </c>
      <c r="Y216" s="85">
        <f t="shared" ref="Y216:Z235" si="84">((-0.0000000006)*$Z$130 + 0.0461)*Y86</f>
        <v>4611.2271867520958</v>
      </c>
      <c r="Z216" s="85">
        <f t="shared" si="84"/>
        <v>4421.6538645937835</v>
      </c>
      <c r="AA216" s="85">
        <f t="shared" si="81"/>
        <v>4503.1309890337243</v>
      </c>
      <c r="AB216" s="85">
        <f t="shared" si="82"/>
        <v>4553.3149039407099</v>
      </c>
      <c r="AC216" s="85">
        <f t="shared" si="83"/>
        <v>4577.1136280116752</v>
      </c>
      <c r="AD216" s="41"/>
    </row>
    <row r="217" spans="17:30" hidden="1" x14ac:dyDescent="0.35">
      <c r="Q217" s="3" t="str">
        <f t="shared" si="74"/>
        <v>Iecavas novads</v>
      </c>
      <c r="R217" s="3"/>
      <c r="S217" s="85">
        <f t="shared" si="75"/>
        <v>1781.263006291575</v>
      </c>
      <c r="T217" s="85">
        <f t="shared" si="76"/>
        <v>1894.6239768559242</v>
      </c>
      <c r="U217" s="85">
        <f t="shared" si="77"/>
        <v>1929.6578568989648</v>
      </c>
      <c r="V217" s="85">
        <f t="shared" si="78"/>
        <v>1926.3355021839911</v>
      </c>
      <c r="W217" s="85">
        <f t="shared" si="79"/>
        <v>1910.0662654942057</v>
      </c>
      <c r="X217" s="85">
        <f t="shared" si="80"/>
        <v>1884.0434932141766</v>
      </c>
      <c r="Y217" s="85">
        <f t="shared" si="84"/>
        <v>1974.9576294543613</v>
      </c>
      <c r="Z217" s="85">
        <f t="shared" si="84"/>
        <v>1918.749374825011</v>
      </c>
      <c r="AA217" s="85">
        <f t="shared" si="81"/>
        <v>1970.7495056331059</v>
      </c>
      <c r="AB217" s="85">
        <f t="shared" si="82"/>
        <v>2004.5508506627846</v>
      </c>
      <c r="AC217" s="85">
        <f t="shared" si="83"/>
        <v>2027.5244997566886</v>
      </c>
      <c r="AD217" s="41"/>
    </row>
    <row r="218" spans="17:30" hidden="1" x14ac:dyDescent="0.35">
      <c r="Q218" s="3" t="str">
        <f t="shared" si="74"/>
        <v>Jaunjelgavas novads</v>
      </c>
      <c r="R218" s="3"/>
      <c r="S218" s="85">
        <f t="shared" si="75"/>
        <v>1147.7870799479444</v>
      </c>
      <c r="T218" s="85">
        <f t="shared" si="76"/>
        <v>1223.8457301390026</v>
      </c>
      <c r="U218" s="85">
        <f t="shared" si="77"/>
        <v>1236.7725526579829</v>
      </c>
      <c r="V218" s="85">
        <f t="shared" si="78"/>
        <v>1235.0839850680372</v>
      </c>
      <c r="W218" s="85">
        <f t="shared" si="79"/>
        <v>1205.0021833407563</v>
      </c>
      <c r="X218" s="85">
        <f t="shared" si="80"/>
        <v>1174.6197087322951</v>
      </c>
      <c r="Y218" s="85">
        <f t="shared" si="84"/>
        <v>1214.413472352604</v>
      </c>
      <c r="Z218" s="85">
        <f t="shared" si="84"/>
        <v>1177.4092192168653</v>
      </c>
      <c r="AA218" s="85">
        <f t="shared" si="81"/>
        <v>1180.6689762079682</v>
      </c>
      <c r="AB218" s="85">
        <f t="shared" si="82"/>
        <v>1200.072275393778</v>
      </c>
      <c r="AC218" s="85">
        <f t="shared" si="83"/>
        <v>1212.9450271805204</v>
      </c>
      <c r="AD218" s="41"/>
    </row>
    <row r="219" spans="17:30" hidden="1" x14ac:dyDescent="0.35">
      <c r="Q219" s="3" t="str">
        <f t="shared" si="74"/>
        <v>Jelgava</v>
      </c>
      <c r="R219" s="3"/>
      <c r="S219" s="85">
        <f t="shared" si="75"/>
        <v>16436.355663375998</v>
      </c>
      <c r="T219" s="85">
        <f t="shared" si="76"/>
        <v>16580.9884988628</v>
      </c>
      <c r="U219" s="85">
        <f t="shared" si="77"/>
        <v>16426.4082172864</v>
      </c>
      <c r="V219" s="85">
        <f t="shared" si="78"/>
        <v>16984.7171160088</v>
      </c>
      <c r="W219" s="85">
        <f t="shared" si="79"/>
        <v>17723.4375409944</v>
      </c>
      <c r="X219" s="85">
        <f t="shared" si="80"/>
        <v>16692.6328286672</v>
      </c>
      <c r="Y219" s="85">
        <f t="shared" si="84"/>
        <v>17416.327428989476</v>
      </c>
      <c r="Z219" s="85">
        <f t="shared" si="84"/>
        <v>16770.616382415436</v>
      </c>
      <c r="AA219" s="85">
        <f t="shared" si="81"/>
        <v>17075.784921490042</v>
      </c>
      <c r="AB219" s="85">
        <f t="shared" si="82"/>
        <v>17325.071661923066</v>
      </c>
      <c r="AC219" s="85">
        <f t="shared" si="83"/>
        <v>17478.170888376</v>
      </c>
      <c r="AD219" s="41"/>
    </row>
    <row r="220" spans="17:30" hidden="1" x14ac:dyDescent="0.35">
      <c r="Q220" s="3" t="str">
        <f t="shared" si="74"/>
        <v>Jelgavas novads</v>
      </c>
      <c r="R220" s="3"/>
      <c r="S220" s="85">
        <f t="shared" si="75"/>
        <v>4865.7279894146413</v>
      </c>
      <c r="T220" s="85">
        <f t="shared" si="76"/>
        <v>5145.0855323983742</v>
      </c>
      <c r="U220" s="85">
        <f t="shared" si="77"/>
        <v>5179.4562262621876</v>
      </c>
      <c r="V220" s="85">
        <f t="shared" si="78"/>
        <v>5137.1943047043915</v>
      </c>
      <c r="W220" s="85">
        <f t="shared" si="79"/>
        <v>5070.0907387920115</v>
      </c>
      <c r="X220" s="85">
        <f t="shared" si="80"/>
        <v>4974.9125668395227</v>
      </c>
      <c r="Y220" s="85">
        <f t="shared" si="84"/>
        <v>5200.4776147768807</v>
      </c>
      <c r="Z220" s="85">
        <f t="shared" si="84"/>
        <v>5046.9819062528186</v>
      </c>
      <c r="AA220" s="85">
        <f t="shared" si="81"/>
        <v>5159.6569805667132</v>
      </c>
      <c r="AB220" s="85">
        <f t="shared" si="82"/>
        <v>5226.3316753808367</v>
      </c>
      <c r="AC220" s="85">
        <f t="shared" si="83"/>
        <v>5263.2840419163722</v>
      </c>
      <c r="AD220" s="41"/>
    </row>
    <row r="221" spans="17:30" hidden="1" x14ac:dyDescent="0.35">
      <c r="Q221" s="3" t="str">
        <f t="shared" si="74"/>
        <v>Jēkabpils</v>
      </c>
      <c r="R221" s="3"/>
      <c r="S221" s="85">
        <f t="shared" si="75"/>
        <v>6416.001643304</v>
      </c>
      <c r="T221" s="85">
        <f t="shared" si="76"/>
        <v>6209.7339253444006</v>
      </c>
      <c r="U221" s="85">
        <f t="shared" si="77"/>
        <v>6481.5603603775999</v>
      </c>
      <c r="V221" s="85">
        <f t="shared" si="78"/>
        <v>6378.4587468200007</v>
      </c>
      <c r="W221" s="85">
        <f t="shared" si="79"/>
        <v>6511.7120016430008</v>
      </c>
      <c r="X221" s="85">
        <f t="shared" si="80"/>
        <v>6708.973788796</v>
      </c>
      <c r="Y221" s="85">
        <f t="shared" si="84"/>
        <v>6999.8355213033583</v>
      </c>
      <c r="Z221" s="85">
        <f t="shared" si="84"/>
        <v>6740.3163351410894</v>
      </c>
      <c r="AA221" s="85">
        <f t="shared" si="81"/>
        <v>6862.9673124213568</v>
      </c>
      <c r="AB221" s="85">
        <f t="shared" si="82"/>
        <v>6963.1587097057509</v>
      </c>
      <c r="AC221" s="85">
        <f t="shared" si="83"/>
        <v>7024.6911658437512</v>
      </c>
      <c r="AD221" s="41"/>
    </row>
    <row r="222" spans="17:30" hidden="1" x14ac:dyDescent="0.35">
      <c r="Q222" s="3" t="str">
        <f t="shared" si="74"/>
        <v>Jēkabpils novads</v>
      </c>
      <c r="R222" s="3"/>
      <c r="S222" s="85">
        <f t="shared" si="75"/>
        <v>992.57245999337158</v>
      </c>
      <c r="T222" s="85">
        <f t="shared" si="76"/>
        <v>1051.6071867884641</v>
      </c>
      <c r="U222" s="85">
        <f t="shared" si="77"/>
        <v>1058.063574988149</v>
      </c>
      <c r="V222" s="85">
        <f t="shared" si="78"/>
        <v>1053.7315876972391</v>
      </c>
      <c r="W222" s="85">
        <f t="shared" si="79"/>
        <v>1027.4371821960553</v>
      </c>
      <c r="X222" s="85">
        <f t="shared" si="80"/>
        <v>988.31768714547059</v>
      </c>
      <c r="Y222" s="85">
        <f t="shared" si="84"/>
        <v>1014.2951433481962</v>
      </c>
      <c r="Z222" s="85">
        <f t="shared" si="84"/>
        <v>963.12802051085907</v>
      </c>
      <c r="AA222" s="85">
        <f t="shared" si="81"/>
        <v>975.651045233177</v>
      </c>
      <c r="AB222" s="85">
        <f t="shared" si="82"/>
        <v>985.72187098896904</v>
      </c>
      <c r="AC222" s="85">
        <f t="shared" si="83"/>
        <v>990.0883790228894</v>
      </c>
      <c r="AD222" s="41"/>
    </row>
    <row r="223" spans="17:30" hidden="1" x14ac:dyDescent="0.35">
      <c r="Q223" s="3" t="str">
        <f t="shared" si="74"/>
        <v>Kokneses novads</v>
      </c>
      <c r="R223" s="3"/>
      <c r="S223" s="85">
        <f t="shared" si="75"/>
        <v>1078.2909855940904</v>
      </c>
      <c r="T223" s="85">
        <f t="shared" si="76"/>
        <v>1154.1713445122773</v>
      </c>
      <c r="U223" s="85">
        <f t="shared" si="77"/>
        <v>1174.0248595059197</v>
      </c>
      <c r="V223" s="85">
        <f t="shared" si="78"/>
        <v>1172.3859443413301</v>
      </c>
      <c r="W223" s="85">
        <f t="shared" si="79"/>
        <v>1151.91341073388</v>
      </c>
      <c r="X223" s="85">
        <f t="shared" si="80"/>
        <v>1122.7324710274411</v>
      </c>
      <c r="Y223" s="85">
        <f t="shared" si="84"/>
        <v>1184.4075363625686</v>
      </c>
      <c r="Z223" s="85">
        <f t="shared" si="84"/>
        <v>1124.8625558399146</v>
      </c>
      <c r="AA223" s="85">
        <f t="shared" si="81"/>
        <v>1136.6194093242416</v>
      </c>
      <c r="AB223" s="85">
        <f t="shared" si="82"/>
        <v>1157.298857603867</v>
      </c>
      <c r="AC223" s="85">
        <f t="shared" si="83"/>
        <v>1171.7946338610911</v>
      </c>
      <c r="AD223" s="41"/>
    </row>
    <row r="224" spans="17:30" hidden="1" x14ac:dyDescent="0.35">
      <c r="Q224" s="3" t="str">
        <f t="shared" si="74"/>
        <v>Krustpils novads</v>
      </c>
      <c r="R224" s="3"/>
      <c r="S224" s="85">
        <f t="shared" si="75"/>
        <v>1212.2762510774573</v>
      </c>
      <c r="T224" s="85">
        <f t="shared" si="76"/>
        <v>1293.3037356861419</v>
      </c>
      <c r="U224" s="85">
        <f t="shared" si="77"/>
        <v>1309.9412407858306</v>
      </c>
      <c r="V224" s="85">
        <f t="shared" si="78"/>
        <v>1309.6924062912158</v>
      </c>
      <c r="W224" s="85">
        <f t="shared" si="79"/>
        <v>1298.3028773264577</v>
      </c>
      <c r="X224" s="85">
        <f t="shared" si="80"/>
        <v>1253.1215209495526</v>
      </c>
      <c r="Y224" s="85">
        <f t="shared" si="84"/>
        <v>1298.5246000097104</v>
      </c>
      <c r="Z224" s="85">
        <f t="shared" si="84"/>
        <v>1261.8023452465129</v>
      </c>
      <c r="AA224" s="85">
        <f t="shared" si="81"/>
        <v>1279.5461954895245</v>
      </c>
      <c r="AB224" s="85">
        <f t="shared" si="82"/>
        <v>1302.2934941798367</v>
      </c>
      <c r="AC224" s="85">
        <f t="shared" si="83"/>
        <v>1318.0520559000258</v>
      </c>
      <c r="AD224" s="41"/>
    </row>
    <row r="225" spans="17:30" hidden="1" x14ac:dyDescent="0.35">
      <c r="Q225" s="3" t="str">
        <f t="shared" si="74"/>
        <v>Neretas novads</v>
      </c>
      <c r="R225" s="3"/>
      <c r="S225" s="85">
        <f t="shared" si="75"/>
        <v>770.26506883262857</v>
      </c>
      <c r="T225" s="85">
        <f t="shared" si="76"/>
        <v>813.58909924374996</v>
      </c>
      <c r="U225" s="85">
        <f t="shared" si="77"/>
        <v>821.70654000546517</v>
      </c>
      <c r="V225" s="85">
        <f t="shared" si="78"/>
        <v>817.5464952106114</v>
      </c>
      <c r="W225" s="85">
        <f t="shared" si="79"/>
        <v>792.26521503112713</v>
      </c>
      <c r="X225" s="85">
        <f t="shared" si="80"/>
        <v>769.80979387977152</v>
      </c>
      <c r="Y225" s="85">
        <f t="shared" si="84"/>
        <v>797.63810946739125</v>
      </c>
      <c r="Z225" s="85">
        <f t="shared" si="84"/>
        <v>758.85571006712951</v>
      </c>
      <c r="AA225" s="85">
        <f t="shared" si="81"/>
        <v>768.05574598327439</v>
      </c>
      <c r="AB225" s="85">
        <f t="shared" si="82"/>
        <v>778.37954068533202</v>
      </c>
      <c r="AC225" s="85">
        <f t="shared" si="83"/>
        <v>784.33641242574424</v>
      </c>
      <c r="AD225" s="41"/>
    </row>
    <row r="226" spans="17:30" hidden="1" x14ac:dyDescent="0.35">
      <c r="Q226" s="3" t="str">
        <f t="shared" si="74"/>
        <v>Ozolnieku novads</v>
      </c>
      <c r="R226" s="3"/>
      <c r="S226" s="85">
        <f t="shared" si="75"/>
        <v>1970.7249811006407</v>
      </c>
      <c r="T226" s="85">
        <f t="shared" si="76"/>
        <v>2090.4479488813481</v>
      </c>
      <c r="U226" s="85">
        <f t="shared" si="77"/>
        <v>2136.0822467384382</v>
      </c>
      <c r="V226" s="85">
        <f t="shared" si="78"/>
        <v>2174.4309751670908</v>
      </c>
      <c r="W226" s="85">
        <f t="shared" si="79"/>
        <v>2170.7660254445677</v>
      </c>
      <c r="X226" s="85">
        <f t="shared" si="80"/>
        <v>2206.1022100029245</v>
      </c>
      <c r="Y226" s="85">
        <f t="shared" si="84"/>
        <v>2355.3478416114999</v>
      </c>
      <c r="Z226" s="85">
        <f t="shared" si="84"/>
        <v>2281.7990490657598</v>
      </c>
      <c r="AA226" s="85">
        <f t="shared" si="81"/>
        <v>2330.8781455282528</v>
      </c>
      <c r="AB226" s="85">
        <f t="shared" si="82"/>
        <v>2409.3275444373671</v>
      </c>
      <c r="AC226" s="85">
        <f t="shared" si="83"/>
        <v>2477.2040990424971</v>
      </c>
      <c r="AD226" s="41"/>
    </row>
    <row r="227" spans="17:30" hidden="1" x14ac:dyDescent="0.35">
      <c r="Q227" s="3" t="str">
        <f t="shared" si="74"/>
        <v>Pļaviņu novads</v>
      </c>
      <c r="R227" s="3"/>
      <c r="S227" s="85">
        <f t="shared" si="75"/>
        <v>1113.5397250934514</v>
      </c>
      <c r="T227" s="85">
        <f t="shared" si="76"/>
        <v>1181.8679946992984</v>
      </c>
      <c r="U227" s="85">
        <f t="shared" si="77"/>
        <v>1184.667577779061</v>
      </c>
      <c r="V227" s="85">
        <f t="shared" si="78"/>
        <v>1187.891911402774</v>
      </c>
      <c r="W227" s="85">
        <f t="shared" si="79"/>
        <v>1166.8234489979388</v>
      </c>
      <c r="X227" s="85">
        <f t="shared" si="80"/>
        <v>1125.1926417806887</v>
      </c>
      <c r="Y227" s="85">
        <f t="shared" si="84"/>
        <v>1158.654410197893</v>
      </c>
      <c r="Z227" s="85">
        <f t="shared" si="84"/>
        <v>1095.9732647192534</v>
      </c>
      <c r="AA227" s="85">
        <f t="shared" si="81"/>
        <v>1116.469075537005</v>
      </c>
      <c r="AB227" s="85">
        <f t="shared" si="82"/>
        <v>1130.2331921096857</v>
      </c>
      <c r="AC227" s="85">
        <f t="shared" si="83"/>
        <v>1137.5852707401202</v>
      </c>
      <c r="AD227" s="41"/>
    </row>
    <row r="228" spans="17:30" hidden="1" x14ac:dyDescent="0.35">
      <c r="Q228" s="3" t="str">
        <f t="shared" si="74"/>
        <v>Rundāles novads</v>
      </c>
      <c r="R228" s="3"/>
      <c r="S228" s="85">
        <f t="shared" si="75"/>
        <v>735.21660626224104</v>
      </c>
      <c r="T228" s="85">
        <f t="shared" si="76"/>
        <v>782.6467478629371</v>
      </c>
      <c r="U228" s="85">
        <f t="shared" si="77"/>
        <v>782.90496296797016</v>
      </c>
      <c r="V228" s="85">
        <f t="shared" si="78"/>
        <v>780.46700875933288</v>
      </c>
      <c r="W228" s="85">
        <f t="shared" si="79"/>
        <v>772.83698335371707</v>
      </c>
      <c r="X228" s="85">
        <f t="shared" si="80"/>
        <v>761.98197784671163</v>
      </c>
      <c r="Y228" s="85">
        <f t="shared" si="84"/>
        <v>792.91276521699194</v>
      </c>
      <c r="Z228" s="85">
        <f t="shared" si="84"/>
        <v>765.90742679736957</v>
      </c>
      <c r="AA228" s="85">
        <f t="shared" si="81"/>
        <v>770.86742046521431</v>
      </c>
      <c r="AB228" s="85">
        <f t="shared" si="82"/>
        <v>785.14595705887723</v>
      </c>
      <c r="AC228" s="85">
        <f t="shared" si="83"/>
        <v>794.99585165909025</v>
      </c>
      <c r="AD228" s="41"/>
    </row>
    <row r="229" spans="17:30" hidden="1" x14ac:dyDescent="0.35">
      <c r="Q229" s="3" t="str">
        <f t="shared" si="74"/>
        <v>Salas novads</v>
      </c>
      <c r="R229" s="3"/>
      <c r="S229" s="85">
        <f t="shared" si="75"/>
        <v>759.65039159702542</v>
      </c>
      <c r="T229" s="85">
        <f t="shared" si="76"/>
        <v>806.01579645823642</v>
      </c>
      <c r="U229" s="85">
        <f t="shared" si="77"/>
        <v>808.4031421640384</v>
      </c>
      <c r="V229" s="85">
        <f t="shared" si="78"/>
        <v>807.43390799662632</v>
      </c>
      <c r="W229" s="85">
        <f t="shared" si="79"/>
        <v>789.78020865378403</v>
      </c>
      <c r="X229" s="85">
        <f t="shared" si="80"/>
        <v>761.08737030007626</v>
      </c>
      <c r="Y229" s="85">
        <f t="shared" si="84"/>
        <v>787.24235211651296</v>
      </c>
      <c r="Z229" s="85">
        <f t="shared" si="84"/>
        <v>749.75672073778742</v>
      </c>
      <c r="AA229" s="85">
        <f t="shared" si="81"/>
        <v>759.38641633062616</v>
      </c>
      <c r="AB229" s="85">
        <f t="shared" si="82"/>
        <v>770.64649340128028</v>
      </c>
      <c r="AC229" s="85">
        <f t="shared" si="83"/>
        <v>777.89117009860479</v>
      </c>
      <c r="AD229" s="41"/>
    </row>
    <row r="230" spans="17:30" hidden="1" x14ac:dyDescent="0.35">
      <c r="Q230" s="3" t="str">
        <f t="shared" si="74"/>
        <v>Skrīveru novads</v>
      </c>
      <c r="R230" s="3"/>
      <c r="S230" s="85">
        <f t="shared" si="75"/>
        <v>726.0038675294536</v>
      </c>
      <c r="T230" s="85">
        <f t="shared" si="76"/>
        <v>769.01480284901265</v>
      </c>
      <c r="U230" s="85">
        <f t="shared" si="77"/>
        <v>777.80532712875663</v>
      </c>
      <c r="V230" s="85">
        <f t="shared" si="78"/>
        <v>780.69173291964364</v>
      </c>
      <c r="W230" s="85">
        <f t="shared" si="79"/>
        <v>771.02970598837658</v>
      </c>
      <c r="X230" s="85">
        <f t="shared" si="80"/>
        <v>752.81225049369868</v>
      </c>
      <c r="Y230" s="85">
        <f t="shared" si="84"/>
        <v>788.89622260415263</v>
      </c>
      <c r="Z230" s="85">
        <f t="shared" si="84"/>
        <v>776.3712645261129</v>
      </c>
      <c r="AA230" s="85">
        <f t="shared" si="81"/>
        <v>800.6243087324126</v>
      </c>
      <c r="AB230" s="85">
        <f t="shared" si="82"/>
        <v>809.79504527679217</v>
      </c>
      <c r="AC230" s="85">
        <f t="shared" si="83"/>
        <v>814.33157864050872</v>
      </c>
      <c r="AD230" s="41"/>
    </row>
    <row r="231" spans="17:30" hidden="1" x14ac:dyDescent="0.35">
      <c r="Q231" s="3" t="str">
        <f t="shared" si="74"/>
        <v>Tērvetes novads</v>
      </c>
      <c r="R231" s="3"/>
      <c r="S231" s="85">
        <f t="shared" si="75"/>
        <v>716.79112879666604</v>
      </c>
      <c r="T231" s="85">
        <f t="shared" si="76"/>
        <v>757.54665863094908</v>
      </c>
      <c r="U231" s="85">
        <f t="shared" si="77"/>
        <v>762.28469631375867</v>
      </c>
      <c r="V231" s="85">
        <f t="shared" si="78"/>
        <v>784.73676780523772</v>
      </c>
      <c r="W231" s="85">
        <f t="shared" si="79"/>
        <v>767.64106092836323</v>
      </c>
      <c r="X231" s="85">
        <f t="shared" si="80"/>
        <v>759.5218070934643</v>
      </c>
      <c r="Y231" s="85">
        <f t="shared" si="84"/>
        <v>788.89622260415263</v>
      </c>
      <c r="Z231" s="85">
        <f t="shared" si="84"/>
        <v>762.72278053209982</v>
      </c>
      <c r="AA231" s="85">
        <f t="shared" si="81"/>
        <v>766.88421494913268</v>
      </c>
      <c r="AB231" s="85">
        <f t="shared" si="82"/>
        <v>781.27943341685136</v>
      </c>
      <c r="AC231" s="85">
        <f t="shared" si="83"/>
        <v>791.27744262420208</v>
      </c>
      <c r="AD231" s="41"/>
    </row>
    <row r="232" spans="17:30" hidden="1" x14ac:dyDescent="0.35">
      <c r="Q232" s="3" t="str">
        <f t="shared" ref="Q232:Q254" si="85">Q102</f>
        <v>Vecumnieku novads</v>
      </c>
      <c r="R232" s="3"/>
      <c r="S232" s="85">
        <f t="shared" ref="S232:S254" si="86">((-0.0000000006)*$S$130 + 0.0461)*S102</f>
        <v>1729.5915586163756</v>
      </c>
      <c r="T232" s="85">
        <f t="shared" ref="T232:T254" si="87">((-0.0000000006)*$T$130 + 0.0461)*T102</f>
        <v>1836.2013553676761</v>
      </c>
      <c r="U232" s="85">
        <f t="shared" ref="U232:U254" si="88">((-0.0000000006)*$U$130 + 0.0461)*U102</f>
        <v>1856.9326153658315</v>
      </c>
      <c r="V232" s="85">
        <f t="shared" ref="V232:V254" si="89">((-0.0000000006)*$V$130 + 0.0461)*V102</f>
        <v>1856.8957366479608</v>
      </c>
      <c r="W232" s="85">
        <f t="shared" ref="W232:W254" si="90">((-0.0000000006)*$W$130 + 0.0461)*W102</f>
        <v>1807.0514556697992</v>
      </c>
      <c r="X232" s="85">
        <f t="shared" ref="X232:X254" si="91">((-0.0000000006)*$X$130 + 0.0461)*X102</f>
        <v>1765.2843413983255</v>
      </c>
      <c r="Y232" s="85">
        <f t="shared" si="84"/>
        <v>1844.5381281433422</v>
      </c>
      <c r="Z232" s="85">
        <f t="shared" si="84"/>
        <v>1785.221706416916</v>
      </c>
      <c r="AA232" s="85">
        <f t="shared" ref="AA232:AA254" si="92">((-0.0000000006)*$AA$130 + 0.0461)*AA102</f>
        <v>1826.4168822268527</v>
      </c>
      <c r="AB232" s="85">
        <f t="shared" ref="AB232:AB254" si="93">((-0.0000000006)*$AB$130 + 0.0461)*AB102</f>
        <v>1848.6816163436167</v>
      </c>
      <c r="AC232" s="85">
        <f t="shared" ref="AC232:AC254" si="94">((-0.0000000006)*$AC$130 + 0.0461)*AC102</f>
        <v>1860.4439871223799</v>
      </c>
      <c r="AD232" s="41"/>
    </row>
    <row r="233" spans="17:30" hidden="1" x14ac:dyDescent="0.35">
      <c r="Q233" s="3" t="str">
        <f t="shared" si="85"/>
        <v>Viesītes novads</v>
      </c>
      <c r="R233" s="3"/>
      <c r="S233" s="85">
        <f t="shared" si="86"/>
        <v>803.71131597122678</v>
      </c>
      <c r="T233" s="85">
        <f t="shared" si="87"/>
        <v>857.94701555890117</v>
      </c>
      <c r="U233" s="85">
        <f t="shared" si="88"/>
        <v>861.61673352974572</v>
      </c>
      <c r="V233" s="85">
        <f t="shared" si="89"/>
        <v>857.3226715856191</v>
      </c>
      <c r="W233" s="85">
        <f t="shared" si="90"/>
        <v>836.09169114063343</v>
      </c>
      <c r="X233" s="85">
        <f t="shared" si="91"/>
        <v>809.39617781838842</v>
      </c>
      <c r="Y233" s="85">
        <f t="shared" si="84"/>
        <v>842.76514705870386</v>
      </c>
      <c r="Z233" s="85">
        <f t="shared" si="84"/>
        <v>812.99469657671489</v>
      </c>
      <c r="AA233" s="85">
        <f t="shared" si="92"/>
        <v>828.27244113815584</v>
      </c>
      <c r="AB233" s="85">
        <f t="shared" si="93"/>
        <v>833.96081803945378</v>
      </c>
      <c r="AC233" s="85">
        <f t="shared" si="94"/>
        <v>834.65888136456408</v>
      </c>
      <c r="AD233" s="41"/>
    </row>
    <row r="234" spans="17:30" hidden="1" x14ac:dyDescent="0.35">
      <c r="Q234" s="3" t="str">
        <f t="shared" si="85"/>
        <v>Aglonas novads</v>
      </c>
      <c r="R234" s="3"/>
      <c r="S234" s="85">
        <f t="shared" si="86"/>
        <v>525.44525420854723</v>
      </c>
      <c r="T234" s="85">
        <f t="shared" si="87"/>
        <v>523.95956873973455</v>
      </c>
      <c r="U234" s="85">
        <f t="shared" si="88"/>
        <v>531.09497356382167</v>
      </c>
      <c r="V234" s="85">
        <f t="shared" si="89"/>
        <v>526.62712936928756</v>
      </c>
      <c r="W234" s="85">
        <f t="shared" si="90"/>
        <v>554.02560136047077</v>
      </c>
      <c r="X234" s="85">
        <f t="shared" si="91"/>
        <v>552.66488280395424</v>
      </c>
      <c r="Y234" s="85">
        <f t="shared" si="84"/>
        <v>569.60757764510811</v>
      </c>
      <c r="Z234" s="85">
        <f t="shared" si="84"/>
        <v>543.23785572557244</v>
      </c>
      <c r="AA234" s="85">
        <f t="shared" si="92"/>
        <v>549.20616112502444</v>
      </c>
      <c r="AB234" s="85">
        <f t="shared" si="93"/>
        <v>556.81131257116215</v>
      </c>
      <c r="AC234" s="85">
        <f t="shared" si="94"/>
        <v>561.10180010646479</v>
      </c>
      <c r="AD234" s="41"/>
    </row>
    <row r="235" spans="17:30" hidden="1" x14ac:dyDescent="0.35">
      <c r="Q235" s="3" t="str">
        <f t="shared" si="85"/>
        <v>Baltinavas novads</v>
      </c>
      <c r="R235" s="3"/>
      <c r="S235" s="85">
        <f t="shared" si="86"/>
        <v>157.21875106187323</v>
      </c>
      <c r="T235" s="85">
        <f t="shared" si="87"/>
        <v>156.1627018061069</v>
      </c>
      <c r="U235" s="85">
        <f t="shared" si="88"/>
        <v>157.05588615882979</v>
      </c>
      <c r="V235" s="85">
        <f t="shared" si="89"/>
        <v>155.61115625321816</v>
      </c>
      <c r="W235" s="85">
        <f t="shared" si="90"/>
        <v>167.04613591660294</v>
      </c>
      <c r="X235" s="85">
        <f t="shared" si="91"/>
        <v>167.01870136112245</v>
      </c>
      <c r="Y235" s="85">
        <f t="shared" si="84"/>
        <v>171.89974844006238</v>
      </c>
      <c r="Z235" s="85">
        <f t="shared" si="84"/>
        <v>170.61795404850406</v>
      </c>
      <c r="AA235" s="85">
        <f t="shared" si="92"/>
        <v>169.16705225974616</v>
      </c>
      <c r="AB235" s="85">
        <f t="shared" si="93"/>
        <v>171.54287912545905</v>
      </c>
      <c r="AC235" s="85">
        <f t="shared" si="94"/>
        <v>172.95958146188229</v>
      </c>
      <c r="AD235" s="41"/>
    </row>
    <row r="236" spans="17:30" hidden="1" x14ac:dyDescent="0.35">
      <c r="Q236" s="3" t="str">
        <f t="shared" si="85"/>
        <v>Balvu novads</v>
      </c>
      <c r="R236" s="3"/>
      <c r="S236" s="85">
        <f t="shared" si="86"/>
        <v>1881.7853854010841</v>
      </c>
      <c r="T236" s="85">
        <f t="shared" si="87"/>
        <v>1867.9137560458885</v>
      </c>
      <c r="U236" s="85">
        <f t="shared" si="88"/>
        <v>1886.2629055628674</v>
      </c>
      <c r="V236" s="85">
        <f t="shared" si="89"/>
        <v>1873.2394217654953</v>
      </c>
      <c r="W236" s="85">
        <f t="shared" si="90"/>
        <v>1990.0419010450901</v>
      </c>
      <c r="X236" s="85">
        <f t="shared" si="91"/>
        <v>2025.7698288090542</v>
      </c>
      <c r="Y236" s="85">
        <f t="shared" ref="Y236:Z254" si="95">((-0.0000000006)*$Z$130 + 0.0461)*Y106</f>
        <v>2137.9473385946285</v>
      </c>
      <c r="Z236" s="85">
        <f t="shared" si="95"/>
        <v>2047.588840811773</v>
      </c>
      <c r="AA236" s="85">
        <f t="shared" si="92"/>
        <v>2089.9442870424991</v>
      </c>
      <c r="AB236" s="85">
        <f t="shared" si="93"/>
        <v>2117.0078591089436</v>
      </c>
      <c r="AC236" s="85">
        <f t="shared" si="94"/>
        <v>2132.0706301594628</v>
      </c>
      <c r="AD236" s="41"/>
    </row>
    <row r="237" spans="17:30" hidden="1" x14ac:dyDescent="0.35">
      <c r="Q237" s="3" t="str">
        <f t="shared" si="85"/>
        <v>Ciblas novads</v>
      </c>
      <c r="R237" s="3"/>
      <c r="S237" s="85">
        <f t="shared" si="86"/>
        <v>389.6591385157069</v>
      </c>
      <c r="T237" s="85">
        <f t="shared" si="87"/>
        <v>386.89590240631702</v>
      </c>
      <c r="U237" s="85">
        <f t="shared" si="88"/>
        <v>391.84357956861959</v>
      </c>
      <c r="V237" s="85">
        <f t="shared" si="89"/>
        <v>392.5712186691718</v>
      </c>
      <c r="W237" s="85">
        <f t="shared" si="90"/>
        <v>414.06802802493854</v>
      </c>
      <c r="X237" s="85">
        <f t="shared" si="91"/>
        <v>420.05203392322295</v>
      </c>
      <c r="Y237" s="85">
        <f t="shared" si="95"/>
        <v>433.58721595110228</v>
      </c>
      <c r="Z237" s="85">
        <f t="shared" si="95"/>
        <v>424.98435505374334</v>
      </c>
      <c r="AA237" s="85">
        <f t="shared" si="92"/>
        <v>426.43818296426946</v>
      </c>
      <c r="AB237" s="85">
        <f t="shared" si="93"/>
        <v>434.20033667165376</v>
      </c>
      <c r="AC237" s="85">
        <f t="shared" si="94"/>
        <v>439.66209397365373</v>
      </c>
      <c r="AD237" s="41"/>
    </row>
    <row r="238" spans="17:30" hidden="1" x14ac:dyDescent="0.35">
      <c r="Q238" s="3" t="str">
        <f t="shared" si="85"/>
        <v>Dagdas novads</v>
      </c>
      <c r="R238" s="3"/>
      <c r="S238" s="85">
        <f t="shared" si="86"/>
        <v>1108.1363861124469</v>
      </c>
      <c r="T238" s="85">
        <f t="shared" si="87"/>
        <v>1098.0541055952785</v>
      </c>
      <c r="U238" s="85">
        <f t="shared" si="88"/>
        <v>1106.9183054899277</v>
      </c>
      <c r="V238" s="85">
        <f t="shared" si="89"/>
        <v>1101.3844645626257</v>
      </c>
      <c r="W238" s="85">
        <f t="shared" si="90"/>
        <v>1169.4841928601556</v>
      </c>
      <c r="X238" s="85">
        <f t="shared" si="91"/>
        <v>1167.7947599169681</v>
      </c>
      <c r="Y238" s="85">
        <f t="shared" si="95"/>
        <v>1209.7243979006259</v>
      </c>
      <c r="Z238" s="85">
        <f t="shared" si="95"/>
        <v>1159.1270557055384</v>
      </c>
      <c r="AA238" s="85">
        <f t="shared" si="92"/>
        <v>1169.0039096924829</v>
      </c>
      <c r="AB238" s="85">
        <f t="shared" si="93"/>
        <v>1184.1145623567206</v>
      </c>
      <c r="AC238" s="85">
        <f t="shared" si="94"/>
        <v>1192.3171147585076</v>
      </c>
      <c r="AD238" s="41"/>
    </row>
    <row r="239" spans="17:30" hidden="1" x14ac:dyDescent="0.35">
      <c r="Q239" s="3" t="str">
        <f t="shared" si="85"/>
        <v>Daugavpils</v>
      </c>
      <c r="R239" s="3"/>
      <c r="S239" s="85">
        <f t="shared" si="86"/>
        <v>23504.581795485999</v>
      </c>
      <c r="T239" s="85">
        <f t="shared" si="87"/>
        <v>23251.329381453601</v>
      </c>
      <c r="U239" s="85">
        <f t="shared" si="88"/>
        <v>22551.1917674408</v>
      </c>
      <c r="V239" s="85">
        <f t="shared" si="89"/>
        <v>22303.871570309602</v>
      </c>
      <c r="W239" s="85">
        <f t="shared" si="90"/>
        <v>22763.639914137602</v>
      </c>
      <c r="X239" s="85">
        <f t="shared" si="91"/>
        <v>19830.171968220802</v>
      </c>
      <c r="Y239" s="85">
        <f t="shared" si="95"/>
        <v>20689.891853283974</v>
      </c>
      <c r="Z239" s="85">
        <f t="shared" si="95"/>
        <v>19922.813272764724</v>
      </c>
      <c r="AA239" s="85">
        <f t="shared" si="92"/>
        <v>20285.341141870402</v>
      </c>
      <c r="AB239" s="85">
        <f t="shared" si="93"/>
        <v>20581.483696668256</v>
      </c>
      <c r="AC239" s="85">
        <f t="shared" si="94"/>
        <v>20763.359379187881</v>
      </c>
      <c r="AD239" s="41"/>
    </row>
    <row r="240" spans="17:30" hidden="1" x14ac:dyDescent="0.35">
      <c r="Q240" s="3" t="str">
        <f t="shared" si="85"/>
        <v>Daugavpils novads</v>
      </c>
      <c r="R240" s="3"/>
      <c r="S240" s="85">
        <f t="shared" si="86"/>
        <v>3318.6016055276664</v>
      </c>
      <c r="T240" s="85">
        <f t="shared" si="87"/>
        <v>3300.622284666304</v>
      </c>
      <c r="U240" s="85">
        <f t="shared" si="88"/>
        <v>3307.2929833704543</v>
      </c>
      <c r="V240" s="85">
        <f t="shared" si="89"/>
        <v>3262.2240119270477</v>
      </c>
      <c r="W240" s="85">
        <f t="shared" si="90"/>
        <v>3434.6039972582616</v>
      </c>
      <c r="X240" s="85">
        <f t="shared" si="91"/>
        <v>3454.614818953457</v>
      </c>
      <c r="Y240" s="85">
        <f t="shared" si="95"/>
        <v>3596.6853907775876</v>
      </c>
      <c r="Z240" s="85">
        <f t="shared" si="95"/>
        <v>3480.8490117110969</v>
      </c>
      <c r="AA240" s="85">
        <f t="shared" si="92"/>
        <v>3530.1209955547674</v>
      </c>
      <c r="AB240" s="85">
        <f t="shared" si="93"/>
        <v>3555.9057796421657</v>
      </c>
      <c r="AC240" s="85">
        <f t="shared" si="94"/>
        <v>3560.1008587355641</v>
      </c>
      <c r="AD240" s="41"/>
    </row>
    <row r="241" spans="17:30" hidden="1" x14ac:dyDescent="0.35">
      <c r="Q241" s="3" t="str">
        <f t="shared" si="85"/>
        <v>Ilūkstes novads</v>
      </c>
      <c r="R241" s="3"/>
      <c r="S241" s="85">
        <f t="shared" si="86"/>
        <v>1076.6096708599339</v>
      </c>
      <c r="T241" s="85">
        <f t="shared" si="87"/>
        <v>1058.4516938063198</v>
      </c>
      <c r="U241" s="85">
        <f t="shared" si="88"/>
        <v>1078.4021676343611</v>
      </c>
      <c r="V241" s="85">
        <f t="shared" si="89"/>
        <v>1064.4747975196424</v>
      </c>
      <c r="W241" s="85">
        <f t="shared" si="90"/>
        <v>1132.2374193111832</v>
      </c>
      <c r="X241" s="85">
        <f t="shared" si="91"/>
        <v>1139.0675432828552</v>
      </c>
      <c r="Y241" s="85">
        <f t="shared" si="95"/>
        <v>1180.8066832097743</v>
      </c>
      <c r="Z241" s="85">
        <f t="shared" si="95"/>
        <v>1131.0375144902357</v>
      </c>
      <c r="AA241" s="85">
        <f t="shared" si="92"/>
        <v>1150.7692541127237</v>
      </c>
      <c r="AB241" s="85">
        <f t="shared" si="93"/>
        <v>1167.428970835228</v>
      </c>
      <c r="AC241" s="85">
        <f t="shared" si="94"/>
        <v>1177.7908341206116</v>
      </c>
      <c r="AD241" s="41"/>
    </row>
    <row r="242" spans="17:30" hidden="1" x14ac:dyDescent="0.35">
      <c r="Q242" s="3" t="str">
        <f t="shared" si="85"/>
        <v>Kārsavas novads</v>
      </c>
      <c r="R242" s="3"/>
      <c r="S242" s="85">
        <f t="shared" si="86"/>
        <v>834.35175365641419</v>
      </c>
      <c r="T242" s="85">
        <f t="shared" si="87"/>
        <v>830.3867408089119</v>
      </c>
      <c r="U242" s="85">
        <f t="shared" si="88"/>
        <v>841.29844272361174</v>
      </c>
      <c r="V242" s="85">
        <f t="shared" si="89"/>
        <v>838.43999654841161</v>
      </c>
      <c r="W242" s="85">
        <f t="shared" si="90"/>
        <v>891.98766784811528</v>
      </c>
      <c r="X242" s="85">
        <f t="shared" si="91"/>
        <v>900.73185644053342</v>
      </c>
      <c r="Y242" s="85">
        <f t="shared" si="95"/>
        <v>942.14628480441263</v>
      </c>
      <c r="Z242" s="85">
        <f t="shared" si="95"/>
        <v>908.22849929478082</v>
      </c>
      <c r="AA242" s="85">
        <f t="shared" si="92"/>
        <v>925.63444710322165</v>
      </c>
      <c r="AB242" s="85">
        <f t="shared" si="93"/>
        <v>938.14269633201877</v>
      </c>
      <c r="AC242" s="85">
        <f t="shared" si="94"/>
        <v>945.17666017243619</v>
      </c>
      <c r="AD242" s="41"/>
    </row>
    <row r="243" spans="17:30" hidden="1" x14ac:dyDescent="0.35">
      <c r="Q243" s="3" t="str">
        <f t="shared" si="85"/>
        <v>Krāslavas novads</v>
      </c>
      <c r="R243" s="3"/>
      <c r="S243" s="85">
        <f t="shared" si="86"/>
        <v>2316.7987458590023</v>
      </c>
      <c r="T243" s="85">
        <f t="shared" si="87"/>
        <v>2287.8116682763375</v>
      </c>
      <c r="U243" s="85">
        <f t="shared" si="88"/>
        <v>2294.8977135134446</v>
      </c>
      <c r="V243" s="85">
        <f t="shared" si="89"/>
        <v>2278.9504819019689</v>
      </c>
      <c r="W243" s="85">
        <f t="shared" si="90"/>
        <v>2412.6557255985808</v>
      </c>
      <c r="X243" s="85">
        <f t="shared" si="91"/>
        <v>2428.7859551934425</v>
      </c>
      <c r="Y243" s="85">
        <f t="shared" si="95"/>
        <v>2526.7299472160776</v>
      </c>
      <c r="Z243" s="85">
        <f t="shared" si="95"/>
        <v>2403.7364806650526</v>
      </c>
      <c r="AA243" s="85">
        <f t="shared" si="92"/>
        <v>2443.2633065433779</v>
      </c>
      <c r="AB243" s="85">
        <f t="shared" si="93"/>
        <v>2466.8428453910274</v>
      </c>
      <c r="AC243" s="85">
        <f t="shared" si="94"/>
        <v>2475.6655881811639</v>
      </c>
      <c r="AD243" s="41"/>
    </row>
    <row r="244" spans="17:30" hidden="1" x14ac:dyDescent="0.35">
      <c r="Q244" s="3" t="str">
        <f t="shared" si="85"/>
        <v>Līvānu novads</v>
      </c>
      <c r="R244" s="3"/>
      <c r="S244" s="85">
        <f t="shared" si="86"/>
        <v>1663.4490547707428</v>
      </c>
      <c r="T244" s="85">
        <f t="shared" si="87"/>
        <v>1656.9817613401576</v>
      </c>
      <c r="U244" s="85">
        <f t="shared" si="88"/>
        <v>1686.6499405739028</v>
      </c>
      <c r="V244" s="85">
        <f t="shared" si="89"/>
        <v>1693.8584399365957</v>
      </c>
      <c r="W244" s="85">
        <f t="shared" si="90"/>
        <v>1805.9041720713833</v>
      </c>
      <c r="X244" s="85">
        <f t="shared" si="91"/>
        <v>1842.0492573118195</v>
      </c>
      <c r="Y244" s="85">
        <f t="shared" si="95"/>
        <v>1933.5597872302758</v>
      </c>
      <c r="Z244" s="85">
        <f t="shared" si="95"/>
        <v>1878.3580246010615</v>
      </c>
      <c r="AA244" s="85">
        <f t="shared" si="92"/>
        <v>1920.235611349691</v>
      </c>
      <c r="AB244" s="85">
        <f t="shared" si="93"/>
        <v>1952.4016865710717</v>
      </c>
      <c r="AC244" s="85">
        <f t="shared" si="94"/>
        <v>1974.0246968191539</v>
      </c>
      <c r="AD244" s="41"/>
    </row>
    <row r="245" spans="17:30" hidden="1" x14ac:dyDescent="0.35">
      <c r="Q245" s="3" t="str">
        <f t="shared" si="85"/>
        <v>Ludzas novads</v>
      </c>
      <c r="R245" s="3"/>
      <c r="S245" s="85">
        <f t="shared" si="86"/>
        <v>1900.1759692983833</v>
      </c>
      <c r="T245" s="85">
        <f t="shared" si="87"/>
        <v>1887.2936596872935</v>
      </c>
      <c r="U245" s="85">
        <f t="shared" si="88"/>
        <v>1917.9635867322531</v>
      </c>
      <c r="V245" s="85">
        <f t="shared" si="89"/>
        <v>1913.8400555127769</v>
      </c>
      <c r="W245" s="85">
        <f t="shared" si="90"/>
        <v>2054.0547542872637</v>
      </c>
      <c r="X245" s="85">
        <f t="shared" si="91"/>
        <v>2073.7041960996967</v>
      </c>
      <c r="Y245" s="85">
        <f t="shared" si="95"/>
        <v>2177.0398047507797</v>
      </c>
      <c r="Z245" s="85">
        <f t="shared" si="95"/>
        <v>2069.7830462164561</v>
      </c>
      <c r="AA245" s="85">
        <f t="shared" si="92"/>
        <v>2119.3724935722094</v>
      </c>
      <c r="AB245" s="85">
        <f t="shared" si="93"/>
        <v>2155.8159202881461</v>
      </c>
      <c r="AC245" s="85">
        <f t="shared" si="94"/>
        <v>2180.6852493609549</v>
      </c>
      <c r="AD245" s="41"/>
    </row>
    <row r="246" spans="17:30" hidden="1" x14ac:dyDescent="0.35">
      <c r="Q246" s="3" t="str">
        <f t="shared" si="85"/>
        <v>Preiļu novads</v>
      </c>
      <c r="R246" s="3"/>
      <c r="S246" s="85">
        <f t="shared" si="86"/>
        <v>1426.5838651762058</v>
      </c>
      <c r="T246" s="85">
        <f t="shared" si="87"/>
        <v>1415.9968725818128</v>
      </c>
      <c r="U246" s="85">
        <f t="shared" si="88"/>
        <v>1438.9793219400249</v>
      </c>
      <c r="V246" s="85">
        <f t="shared" si="89"/>
        <v>1442.1345107034488</v>
      </c>
      <c r="W246" s="85">
        <f t="shared" si="90"/>
        <v>1541.6294454620083</v>
      </c>
      <c r="X246" s="85">
        <f t="shared" si="91"/>
        <v>1566.969456170051</v>
      </c>
      <c r="Y246" s="85">
        <f t="shared" si="95"/>
        <v>1647.7742241435262</v>
      </c>
      <c r="Z246" s="85">
        <f t="shared" si="95"/>
        <v>1568.3327178543896</v>
      </c>
      <c r="AA246" s="85">
        <f t="shared" si="92"/>
        <v>1615.4821596800521</v>
      </c>
      <c r="AB246" s="85">
        <f t="shared" si="93"/>
        <v>1642.6871113631391</v>
      </c>
      <c r="AC246" s="85">
        <f t="shared" si="94"/>
        <v>1661.2254537497922</v>
      </c>
      <c r="AD246" s="41"/>
    </row>
    <row r="247" spans="17:30" hidden="1" x14ac:dyDescent="0.35">
      <c r="Q247" s="3" t="str">
        <f t="shared" si="85"/>
        <v>Rēzekne</v>
      </c>
      <c r="R247" s="3"/>
      <c r="S247" s="85">
        <f t="shared" si="86"/>
        <v>9336.6524550859995</v>
      </c>
      <c r="T247" s="85">
        <f t="shared" si="87"/>
        <v>8996.4251713964004</v>
      </c>
      <c r="U247" s="85">
        <f t="shared" si="88"/>
        <v>9124.7754436756004</v>
      </c>
      <c r="V247" s="85">
        <f t="shared" si="89"/>
        <v>8841.4099287096014</v>
      </c>
      <c r="W247" s="85">
        <f t="shared" si="90"/>
        <v>9157.0136862918007</v>
      </c>
      <c r="X247" s="85">
        <f t="shared" si="91"/>
        <v>8086.4425559560004</v>
      </c>
      <c r="Y247" s="85">
        <f t="shared" si="95"/>
        <v>8437.0232506629163</v>
      </c>
      <c r="Z247" s="85">
        <f t="shared" si="95"/>
        <v>8124.2202710814054</v>
      </c>
      <c r="AA247" s="85">
        <f t="shared" si="92"/>
        <v>8272.0536228624296</v>
      </c>
      <c r="AB247" s="85">
        <f t="shared" si="93"/>
        <v>8392.8160530412806</v>
      </c>
      <c r="AC247" s="85">
        <f t="shared" si="94"/>
        <v>8466.9821904493256</v>
      </c>
      <c r="AD247" s="41"/>
    </row>
    <row r="248" spans="17:30" hidden="1" x14ac:dyDescent="0.35">
      <c r="Q248" s="3" t="str">
        <f t="shared" si="85"/>
        <v>Rēzeknes novads</v>
      </c>
      <c r="R248" s="3"/>
      <c r="S248" s="85">
        <f t="shared" si="86"/>
        <v>3859.6719422955734</v>
      </c>
      <c r="T248" s="85">
        <f t="shared" si="87"/>
        <v>3847.1917409876783</v>
      </c>
      <c r="U248" s="85">
        <f t="shared" si="88"/>
        <v>3931.7529768167142</v>
      </c>
      <c r="V248" s="85">
        <f t="shared" si="89"/>
        <v>3941.3618855179425</v>
      </c>
      <c r="W248" s="85">
        <f t="shared" si="90"/>
        <v>4182.1193313406666</v>
      </c>
      <c r="X248" s="85">
        <f t="shared" si="91"/>
        <v>4221.2306582010087</v>
      </c>
      <c r="Y248" s="85">
        <f t="shared" si="95"/>
        <v>4406.7384109447767</v>
      </c>
      <c r="Z248" s="85">
        <f t="shared" si="95"/>
        <v>4285.388957630872</v>
      </c>
      <c r="AA248" s="85">
        <f t="shared" si="92"/>
        <v>4377.0395037196222</v>
      </c>
      <c r="AB248" s="85">
        <f t="shared" si="93"/>
        <v>4466.301649623837</v>
      </c>
      <c r="AC248" s="85">
        <f t="shared" si="94"/>
        <v>4532.5869265072442</v>
      </c>
      <c r="AD248" s="41"/>
    </row>
    <row r="249" spans="17:30" hidden="1" x14ac:dyDescent="0.35">
      <c r="Q249" s="3" t="str">
        <f t="shared" si="85"/>
        <v>Riebiņu novads</v>
      </c>
      <c r="R249" s="3"/>
      <c r="S249" s="85">
        <f t="shared" si="86"/>
        <v>744.33468510647629</v>
      </c>
      <c r="T249" s="85">
        <f t="shared" si="87"/>
        <v>740.08762456671161</v>
      </c>
      <c r="U249" s="85">
        <f t="shared" si="88"/>
        <v>749.81519843570356</v>
      </c>
      <c r="V249" s="85">
        <f t="shared" si="89"/>
        <v>749.56151830890747</v>
      </c>
      <c r="W249" s="85">
        <f t="shared" si="90"/>
        <v>791.8567311645146</v>
      </c>
      <c r="X249" s="85">
        <f t="shared" si="91"/>
        <v>798.18237380480412</v>
      </c>
      <c r="Y249" s="85">
        <f t="shared" si="95"/>
        <v>825.58290398264637</v>
      </c>
      <c r="Z249" s="85">
        <f t="shared" si="95"/>
        <v>800.03174794694894</v>
      </c>
      <c r="AA249" s="85">
        <f t="shared" si="92"/>
        <v>806.29675068519362</v>
      </c>
      <c r="AB249" s="85">
        <f t="shared" si="93"/>
        <v>819.28129156093564</v>
      </c>
      <c r="AC249" s="85">
        <f t="shared" si="94"/>
        <v>827.99799636007481</v>
      </c>
      <c r="AD249" s="41"/>
    </row>
    <row r="250" spans="17:30" hidden="1" x14ac:dyDescent="0.35">
      <c r="Q250" s="3" t="str">
        <f t="shared" si="85"/>
        <v>Rugāju novads</v>
      </c>
      <c r="R250" s="3"/>
      <c r="S250" s="85">
        <f t="shared" si="86"/>
        <v>327.02053321137214</v>
      </c>
      <c r="T250" s="85">
        <f t="shared" si="87"/>
        <v>324.54316895136066</v>
      </c>
      <c r="U250" s="85">
        <f t="shared" si="88"/>
        <v>328.00796132341776</v>
      </c>
      <c r="V250" s="85">
        <f t="shared" si="89"/>
        <v>338.53546611824402</v>
      </c>
      <c r="W250" s="85">
        <f t="shared" si="90"/>
        <v>356.6660739840982</v>
      </c>
      <c r="X250" s="85">
        <f t="shared" si="91"/>
        <v>360.76039494002447</v>
      </c>
      <c r="Y250" s="85">
        <f t="shared" si="95"/>
        <v>376.28729980441483</v>
      </c>
      <c r="Z250" s="85">
        <f t="shared" si="95"/>
        <v>362.04297566389886</v>
      </c>
      <c r="AA250" s="85">
        <f t="shared" si="92"/>
        <v>365.77635846130812</v>
      </c>
      <c r="AB250" s="85">
        <f t="shared" si="93"/>
        <v>375.51954851179727</v>
      </c>
      <c r="AC250" s="85">
        <f t="shared" si="94"/>
        <v>383.4938088404557</v>
      </c>
      <c r="AD250" s="41"/>
    </row>
    <row r="251" spans="17:30" hidden="1" x14ac:dyDescent="0.35">
      <c r="Q251" s="3" t="str">
        <f t="shared" si="85"/>
        <v>Vārkavas novads</v>
      </c>
      <c r="R251" s="3"/>
      <c r="S251" s="85">
        <f t="shared" si="86"/>
        <v>285.81456327607026</v>
      </c>
      <c r="T251" s="85">
        <f t="shared" si="87"/>
        <v>285.64292758419191</v>
      </c>
      <c r="U251" s="85">
        <f t="shared" si="88"/>
        <v>290.80670533925257</v>
      </c>
      <c r="V251" s="85">
        <f t="shared" si="89"/>
        <v>289.51942828516206</v>
      </c>
      <c r="W251" s="85">
        <f t="shared" si="90"/>
        <v>311.35722823837864</v>
      </c>
      <c r="X251" s="85">
        <f t="shared" si="91"/>
        <v>312.15795284393789</v>
      </c>
      <c r="Y251" s="85">
        <f t="shared" si="95"/>
        <v>325.59204688958852</v>
      </c>
      <c r="Z251" s="85">
        <f t="shared" si="95"/>
        <v>317.3077803950838</v>
      </c>
      <c r="AA251" s="85">
        <f t="shared" si="92"/>
        <v>316.66916719700617</v>
      </c>
      <c r="AB251" s="85">
        <f t="shared" si="93"/>
        <v>323.21303127026385</v>
      </c>
      <c r="AC251" s="85">
        <f t="shared" si="94"/>
        <v>328.2939424164507</v>
      </c>
      <c r="AD251" s="41"/>
    </row>
    <row r="252" spans="17:30" hidden="1" x14ac:dyDescent="0.35">
      <c r="Q252" s="3" t="str">
        <f t="shared" si="85"/>
        <v>Viļakas novads</v>
      </c>
      <c r="R252" s="3"/>
      <c r="S252" s="85">
        <f t="shared" si="86"/>
        <v>753.73738965547136</v>
      </c>
      <c r="T252" s="85">
        <f t="shared" si="87"/>
        <v>746.26672427846415</v>
      </c>
      <c r="U252" s="85">
        <f t="shared" si="88"/>
        <v>746.92015905950382</v>
      </c>
      <c r="V252" s="85">
        <f t="shared" si="89"/>
        <v>740.40792088224771</v>
      </c>
      <c r="W252" s="85">
        <f t="shared" si="90"/>
        <v>785.72955629498665</v>
      </c>
      <c r="X252" s="85">
        <f t="shared" si="91"/>
        <v>790.49951354219263</v>
      </c>
      <c r="Y252" s="85">
        <f t="shared" si="95"/>
        <v>820.40627604416056</v>
      </c>
      <c r="Z252" s="85">
        <f t="shared" si="95"/>
        <v>789.10803747433135</v>
      </c>
      <c r="AA252" s="85">
        <f t="shared" si="92"/>
        <v>808.10216212873411</v>
      </c>
      <c r="AB252" s="85">
        <f t="shared" si="93"/>
        <v>815.90667754535286</v>
      </c>
      <c r="AC252" s="85">
        <f t="shared" si="94"/>
        <v>818.89486049365996</v>
      </c>
      <c r="AD252" s="41"/>
    </row>
    <row r="253" spans="17:30" hidden="1" x14ac:dyDescent="0.35">
      <c r="Q253" s="3" t="str">
        <f t="shared" si="85"/>
        <v>Viļānu novads</v>
      </c>
      <c r="R253" s="3"/>
      <c r="S253" s="85">
        <f t="shared" si="86"/>
        <v>865.04881850754521</v>
      </c>
      <c r="T253" s="85">
        <f t="shared" si="87"/>
        <v>858.47355768051386</v>
      </c>
      <c r="U253" s="85">
        <f t="shared" si="88"/>
        <v>872.27536404894772</v>
      </c>
      <c r="V253" s="85">
        <f t="shared" si="89"/>
        <v>871.65869688709677</v>
      </c>
      <c r="W253" s="85">
        <f t="shared" si="90"/>
        <v>931.81430450004666</v>
      </c>
      <c r="X253" s="85">
        <f t="shared" si="91"/>
        <v>945.15883100259202</v>
      </c>
      <c r="Y253" s="85">
        <f t="shared" si="95"/>
        <v>985.70136125236195</v>
      </c>
      <c r="Z253" s="85">
        <f t="shared" si="95"/>
        <v>954.69761686083689</v>
      </c>
      <c r="AA253" s="85">
        <f t="shared" si="92"/>
        <v>974.74163836752371</v>
      </c>
      <c r="AB253" s="85">
        <f t="shared" si="93"/>
        <v>992.32399913776476</v>
      </c>
      <c r="AC253" s="85">
        <f t="shared" si="94"/>
        <v>1004.4438851750522</v>
      </c>
      <c r="AD253" s="41"/>
    </row>
    <row r="254" spans="17:30" hidden="1" x14ac:dyDescent="0.35">
      <c r="Q254" s="3" t="str">
        <f t="shared" si="85"/>
        <v>Zilupes novads</v>
      </c>
      <c r="R254" s="3"/>
      <c r="S254" s="85">
        <f t="shared" si="86"/>
        <v>450.36189288348373</v>
      </c>
      <c r="T254" s="85">
        <f t="shared" si="87"/>
        <v>444.75474516181703</v>
      </c>
      <c r="U254" s="85">
        <f t="shared" si="88"/>
        <v>445.83606393474258</v>
      </c>
      <c r="V254" s="85">
        <f t="shared" si="89"/>
        <v>441.29197916590988</v>
      </c>
      <c r="W254" s="85">
        <f t="shared" si="90"/>
        <v>459.37687377065811</v>
      </c>
      <c r="X254" s="85">
        <f t="shared" si="91"/>
        <v>461.97372796486474</v>
      </c>
      <c r="Y254" s="85">
        <f t="shared" si="95"/>
        <v>472.50117769558159</v>
      </c>
      <c r="Z254" s="85">
        <f t="shared" si="95"/>
        <v>454.46103410683861</v>
      </c>
      <c r="AA254" s="85">
        <f t="shared" si="92"/>
        <v>460.19937695847705</v>
      </c>
      <c r="AB254" s="85">
        <f t="shared" si="93"/>
        <v>464.75934136832024</v>
      </c>
      <c r="AC254" s="85">
        <f t="shared" si="94"/>
        <v>466.77781783105974</v>
      </c>
      <c r="AD254" s="41"/>
    </row>
    <row r="255" spans="17:30" hidden="1" x14ac:dyDescent="0.35">
      <c r="AD255" s="41"/>
    </row>
    <row r="256" spans="17:30" x14ac:dyDescent="0.35">
      <c r="AD256" s="41"/>
    </row>
    <row r="257" spans="30:30" x14ac:dyDescent="0.35">
      <c r="AD257" s="41"/>
    </row>
  </sheetData>
  <sheetProtection algorithmName="SHA-512" hashValue="nmnsVvAQ6IOIn+1KJI1msXfoKOCaBSMRrAoj1xpqalIfNTZmiyVxRRCciZQyAI4suEg1ZAqY5YnQUwG0+YWZ1A==" saltValue="pywRBGcclkyBlMgvJGPW+A==" spinCount="100000" sheet="1" objects="1" scenarios="1"/>
  <autoFilter ref="A4:AD124" xr:uid="{AC7F71B1-0185-406A-A494-28AF6E2C9F95}"/>
  <mergeCells count="32">
    <mergeCell ref="A69:O69"/>
    <mergeCell ref="A74:O74"/>
    <mergeCell ref="A79:I79"/>
    <mergeCell ref="A67:A68"/>
    <mergeCell ref="B67:I67"/>
    <mergeCell ref="J67:L67"/>
    <mergeCell ref="N67:N68"/>
    <mergeCell ref="O67:O68"/>
    <mergeCell ref="A35:G35"/>
    <mergeCell ref="A36:O36"/>
    <mergeCell ref="O37:O50"/>
    <mergeCell ref="N37:N50"/>
    <mergeCell ref="A51:O51"/>
    <mergeCell ref="R2:R4"/>
    <mergeCell ref="Q2:Q4"/>
    <mergeCell ref="O3:O4"/>
    <mergeCell ref="S2:AC2"/>
    <mergeCell ref="N3:N4"/>
    <mergeCell ref="S3:X3"/>
    <mergeCell ref="Y3:AC3"/>
    <mergeCell ref="J3:L3"/>
    <mergeCell ref="B3:I3"/>
    <mergeCell ref="A3:A4"/>
    <mergeCell ref="A14:O14"/>
    <mergeCell ref="O15:O28"/>
    <mergeCell ref="N15:N28"/>
    <mergeCell ref="A29:O29"/>
    <mergeCell ref="B12:I12"/>
    <mergeCell ref="J12:L12"/>
    <mergeCell ref="N12:N13"/>
    <mergeCell ref="O12:O13"/>
    <mergeCell ref="A12:A13"/>
  </mergeCells>
  <phoneticPr fontId="4" type="noConversion"/>
  <hyperlinks>
    <hyperlink ref="O6" r:id="rId1" xr:uid="{D86BE01C-8D5A-4977-B703-38EE2F968DBC}"/>
    <hyperlink ref="O8" r:id="rId2" xr:uid="{7FCD9267-4E7D-44DC-8062-A12C5F39CAB9}"/>
    <hyperlink ref="O5" r:id="rId3" xr:uid="{86C32A55-2D97-40B9-997D-0AE39D2D17D5}"/>
    <hyperlink ref="O7" r:id="rId4" xr:uid="{B116DA35-450C-447D-836F-6C62AC4A8813}"/>
    <hyperlink ref="O9" r:id="rId5" xr:uid="{AAF122BD-8534-4EF1-9010-DD926E6D67E0}"/>
    <hyperlink ref="O10" r:id="rId6" xr:uid="{36BCD2F5-82DE-4522-BB86-4B657A0B6EAE}"/>
    <hyperlink ref="O15" r:id="rId7" xr:uid="{E80898DD-F038-437C-8281-A833A31DDE71}"/>
    <hyperlink ref="O37" r:id="rId8" xr:uid="{819C6042-A834-4E78-8298-8E8BF6271B65}"/>
  </hyperlinks>
  <pageMargins left="0.7" right="0.7" top="0.75" bottom="0.75" header="0.3" footer="0.3"/>
  <pageSetup paperSize="9" orientation="portrait" verticalDpi="0" r:id="rId9"/>
  <drawing r:id="rId10"/>
  <legacy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21607-C6B1-4AD2-A960-8AACF62574E1}">
  <dimension ref="A1:M7"/>
  <sheetViews>
    <sheetView workbookViewId="0">
      <selection activeCell="L17" sqref="L17"/>
    </sheetView>
  </sheetViews>
  <sheetFormatPr defaultColWidth="8.90625" defaultRowHeight="14.5" x14ac:dyDescent="0.35"/>
  <cols>
    <col min="1" max="1" width="35.08984375" style="4" customWidth="1"/>
    <col min="2" max="12" width="11.453125" style="4" customWidth="1"/>
    <col min="13" max="13" width="134.81640625" style="4" customWidth="1"/>
    <col min="14" max="16384" width="8.90625" style="4"/>
  </cols>
  <sheetData>
    <row r="1" spans="1:13" ht="26" x14ac:dyDescent="0.6">
      <c r="A1" s="39" t="s">
        <v>414</v>
      </c>
    </row>
    <row r="3" spans="1:13" x14ac:dyDescent="0.35">
      <c r="A3" s="1"/>
      <c r="B3" s="216" t="s">
        <v>401</v>
      </c>
      <c r="C3" s="216"/>
      <c r="D3" s="216"/>
      <c r="E3" s="216"/>
      <c r="F3" s="216"/>
      <c r="G3" s="216"/>
      <c r="H3" s="216"/>
      <c r="I3" s="216"/>
      <c r="J3" s="216" t="s">
        <v>290</v>
      </c>
      <c r="K3" s="216"/>
      <c r="L3" s="216"/>
      <c r="M3" s="233" t="s">
        <v>419</v>
      </c>
    </row>
    <row r="4" spans="1:13" x14ac:dyDescent="0.35">
      <c r="A4" s="1"/>
      <c r="B4" s="106">
        <v>2013</v>
      </c>
      <c r="C4" s="106">
        <v>2014</v>
      </c>
      <c r="D4" s="106">
        <v>2015</v>
      </c>
      <c r="E4" s="106">
        <v>2016</v>
      </c>
      <c r="F4" s="106">
        <v>2017</v>
      </c>
      <c r="G4" s="106">
        <v>2018</v>
      </c>
      <c r="H4" s="106">
        <v>2019</v>
      </c>
      <c r="I4" s="106">
        <v>2020</v>
      </c>
      <c r="J4" s="106">
        <v>2021</v>
      </c>
      <c r="K4" s="106">
        <v>2022</v>
      </c>
      <c r="L4" s="106">
        <v>2023</v>
      </c>
      <c r="M4" s="234"/>
    </row>
    <row r="5" spans="1:13" ht="29" x14ac:dyDescent="0.35">
      <c r="A5" s="5" t="s">
        <v>415</v>
      </c>
      <c r="B5" s="100">
        <v>704387.45539999998</v>
      </c>
      <c r="C5" s="100">
        <v>726012.32699999982</v>
      </c>
      <c r="D5" s="100">
        <v>798114.07250000013</v>
      </c>
      <c r="E5" s="100">
        <v>802473.58310000016</v>
      </c>
      <c r="F5" s="100">
        <v>798060</v>
      </c>
      <c r="G5" s="100">
        <v>785069.37971000001</v>
      </c>
      <c r="H5" s="100">
        <v>840942.11399999994</v>
      </c>
      <c r="I5" s="101">
        <f>I6*I7</f>
        <v>837917.36022962502</v>
      </c>
      <c r="J5" s="101">
        <f>J6*J7</f>
        <v>853164.62430482276</v>
      </c>
      <c r="K5" s="101">
        <f>K6*K7</f>
        <v>865619.84256996086</v>
      </c>
      <c r="L5" s="101">
        <f>L6*L7</f>
        <v>873269.20361653226</v>
      </c>
      <c r="M5" s="97" t="s">
        <v>418</v>
      </c>
    </row>
    <row r="6" spans="1:13" ht="29" x14ac:dyDescent="0.35">
      <c r="A6" s="5" t="s">
        <v>416</v>
      </c>
      <c r="B6" s="102">
        <f>IKP!B5</f>
        <v>22749010</v>
      </c>
      <c r="C6" s="102">
        <f>IKP!C5</f>
        <v>23625802</v>
      </c>
      <c r="D6" s="102">
        <f>IKP!D5</f>
        <v>24572126</v>
      </c>
      <c r="E6" s="102">
        <f>IKP!E5</f>
        <v>25371324</v>
      </c>
      <c r="F6" s="102">
        <f>IKP!F5</f>
        <v>26984433</v>
      </c>
      <c r="G6" s="102">
        <f>IKP!G5</f>
        <v>29153556</v>
      </c>
      <c r="H6" s="102">
        <f>IKP!H5</f>
        <v>30647222</v>
      </c>
      <c r="I6" s="102">
        <f>IKP!I5</f>
        <v>29510975</v>
      </c>
      <c r="J6" s="103">
        <f>IKP!J5</f>
        <v>31075056.674999997</v>
      </c>
      <c r="K6" s="103">
        <f>IKP!K5</f>
        <v>32659884.565424994</v>
      </c>
      <c r="L6" s="103">
        <f>IKP!L5</f>
        <v>33900960.178911142</v>
      </c>
      <c r="M6" s="107"/>
    </row>
    <row r="7" spans="1:13" ht="43.5" x14ac:dyDescent="0.35">
      <c r="A7" s="5" t="s">
        <v>417</v>
      </c>
      <c r="B7" s="104">
        <f t="shared" ref="B7:H7" si="0">B5/B6</f>
        <v>3.0963433371386271E-2</v>
      </c>
      <c r="C7" s="104">
        <f t="shared" si="0"/>
        <v>3.0729637326174147E-2</v>
      </c>
      <c r="D7" s="104">
        <f t="shared" si="0"/>
        <v>3.2480464755064338E-2</v>
      </c>
      <c r="E7" s="104">
        <f t="shared" si="0"/>
        <v>3.1629156724339656E-2</v>
      </c>
      <c r="F7" s="104">
        <f t="shared" si="0"/>
        <v>2.957482930992102E-2</v>
      </c>
      <c r="G7" s="104">
        <f t="shared" si="0"/>
        <v>2.6928769159755332E-2</v>
      </c>
      <c r="H7" s="104">
        <f t="shared" si="0"/>
        <v>2.7439423840764424E-2</v>
      </c>
      <c r="I7" s="105">
        <f>(-0.0000000006)*I6 + 0.0461</f>
        <v>2.8393415000000002E-2</v>
      </c>
      <c r="J7" s="105">
        <f>(-0.0000000006)*J6 + 0.0461</f>
        <v>2.7454965995000004E-2</v>
      </c>
      <c r="K7" s="105">
        <f>(-0.0000000006)*K6 + 0.0461</f>
        <v>2.6504069260745007E-2</v>
      </c>
      <c r="L7" s="105">
        <f>(-0.0000000006)*L6 + 0.0461</f>
        <v>2.5759423892653316E-2</v>
      </c>
      <c r="M7" s="3"/>
    </row>
  </sheetData>
  <sheetProtection algorithmName="SHA-512" hashValue="7jfsJQn7YASRd8mz4iYDuRVAw0SlWrGgrfCmsxqldg012BUuW5XK+TRQNC7cGVykDVLU/kFuU0/mdsvT0a3ZBw==" saltValue="TYFIa7DWq+YeUFI7/tNi/w==" spinCount="100000" sheet="1" objects="1" scenarios="1"/>
  <mergeCells count="3">
    <mergeCell ref="B3:I3"/>
    <mergeCell ref="J3:L3"/>
    <mergeCell ref="M3:M4"/>
  </mergeCells>
  <hyperlinks>
    <hyperlink ref="M5" r:id="rId1" display="https://ec.europa.eu/eurostat/databrowser/view/env_wasmun/default/table?lang=en" xr:uid="{0B2B6D38-C526-4FD5-A41B-B97907ED5AD2}"/>
  </hyperlinks>
  <pageMargins left="0.7" right="0.7" top="0.75" bottom="0.75" header="0.3" footer="0.3"/>
  <pageSetup paperSize="9" orientation="portrait" verticalDpi="0"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059E-C8C9-44BA-9CD6-D6B5AD621824}">
  <dimension ref="A1:Q139"/>
  <sheetViews>
    <sheetView zoomScale="85" zoomScaleNormal="85" workbookViewId="0">
      <pane xSplit="1" ySplit="3" topLeftCell="J4" activePane="bottomRight" state="frozen"/>
      <selection pane="topRight" activeCell="B1" sqref="B1"/>
      <selection pane="bottomLeft" activeCell="A3" sqref="A3"/>
      <selection pane="bottomRight" activeCell="P5" sqref="P5"/>
    </sheetView>
  </sheetViews>
  <sheetFormatPr defaultColWidth="8.90625" defaultRowHeight="14.5" x14ac:dyDescent="0.35"/>
  <cols>
    <col min="1" max="2" width="20.1796875" style="4" customWidth="1"/>
    <col min="3" max="6" width="20.36328125" style="4" customWidth="1"/>
    <col min="7" max="7" width="44.1796875" style="4" customWidth="1"/>
    <col min="8" max="8" width="25.54296875" style="4" customWidth="1"/>
    <col min="9" max="9" width="34" style="4" customWidth="1"/>
    <col min="10" max="10" width="25.54296875" style="4" customWidth="1"/>
    <col min="11" max="11" width="23.54296875" style="4" hidden="1" customWidth="1"/>
    <col min="12" max="12" width="25.453125" style="4" customWidth="1"/>
    <col min="13" max="14" width="25.1796875" style="4" customWidth="1"/>
    <col min="15" max="16" width="8.90625" style="4"/>
    <col min="17" max="17" width="92.36328125" style="4" customWidth="1"/>
    <col min="18" max="16384" width="8.90625" style="4"/>
  </cols>
  <sheetData>
    <row r="1" spans="1:17" ht="26.4" customHeight="1" x14ac:dyDescent="0.6">
      <c r="B1" s="40" t="s">
        <v>379</v>
      </c>
      <c r="C1" s="41"/>
      <c r="D1" s="42"/>
      <c r="E1" s="41"/>
      <c r="F1" s="42"/>
      <c r="G1" s="41"/>
      <c r="H1" s="41"/>
      <c r="I1" s="41"/>
      <c r="J1" s="41"/>
      <c r="K1" s="43"/>
      <c r="L1" s="41"/>
      <c r="M1" s="44"/>
      <c r="N1" s="41"/>
      <c r="O1" s="41"/>
      <c r="P1" s="41"/>
      <c r="Q1" s="44"/>
    </row>
    <row r="2" spans="1:17" ht="18.649999999999999" customHeight="1" x14ac:dyDescent="0.35">
      <c r="A2" s="207" t="s">
        <v>357</v>
      </c>
      <c r="B2" s="207" t="s">
        <v>170</v>
      </c>
      <c r="C2" s="49" t="s">
        <v>356</v>
      </c>
      <c r="D2" s="49"/>
      <c r="E2" s="49" t="s">
        <v>144</v>
      </c>
      <c r="F2" s="49"/>
      <c r="G2" s="207" t="s">
        <v>149</v>
      </c>
      <c r="H2" s="207" t="s">
        <v>142</v>
      </c>
      <c r="I2" s="207" t="s">
        <v>143</v>
      </c>
      <c r="J2" s="207" t="s">
        <v>142</v>
      </c>
      <c r="K2" s="50"/>
      <c r="L2" s="216" t="s">
        <v>376</v>
      </c>
      <c r="M2" s="235"/>
      <c r="N2" s="207" t="s">
        <v>337</v>
      </c>
      <c r="O2" s="41"/>
      <c r="P2" s="207" t="s">
        <v>341</v>
      </c>
      <c r="Q2" s="207"/>
    </row>
    <row r="3" spans="1:17" s="6" customFormat="1" ht="31.25" customHeight="1" x14ac:dyDescent="0.35">
      <c r="A3" s="207"/>
      <c r="B3" s="207"/>
      <c r="C3" s="2" t="s">
        <v>141</v>
      </c>
      <c r="D3" s="2" t="s">
        <v>145</v>
      </c>
      <c r="E3" s="2" t="s">
        <v>141</v>
      </c>
      <c r="F3" s="2" t="s">
        <v>145</v>
      </c>
      <c r="G3" s="207"/>
      <c r="H3" s="207"/>
      <c r="I3" s="207"/>
      <c r="J3" s="207"/>
      <c r="K3" s="50"/>
      <c r="L3" s="2" t="s">
        <v>375</v>
      </c>
      <c r="M3" s="51" t="s">
        <v>377</v>
      </c>
      <c r="N3" s="207"/>
      <c r="O3" s="44"/>
      <c r="P3" s="207"/>
      <c r="Q3" s="207"/>
    </row>
    <row r="4" spans="1:17" x14ac:dyDescent="0.35">
      <c r="A4" s="24" t="s">
        <v>2</v>
      </c>
      <c r="B4" s="25" t="s">
        <v>2</v>
      </c>
      <c r="C4" s="26">
        <v>11.72</v>
      </c>
      <c r="D4" s="26"/>
      <c r="E4" s="26"/>
      <c r="F4" s="26"/>
      <c r="G4" s="27" t="s">
        <v>358</v>
      </c>
      <c r="H4" s="45" t="s">
        <v>232</v>
      </c>
      <c r="I4" s="27"/>
      <c r="J4" s="27"/>
      <c r="K4" s="27"/>
      <c r="L4" s="26">
        <f>C4*1000/$P$4</f>
        <v>58.6</v>
      </c>
      <c r="M4" s="27" t="str">
        <f>IF(E4="","",E4*(0.9*1000/$P$5+0.1*1000/$P$6))</f>
        <v/>
      </c>
      <c r="N4" s="26">
        <f>IF(M4="",C4*($P$7*1000/$P$5+$P$8*1000/$P$6)*$P$9,M4)</f>
        <v>27.346666666666668</v>
      </c>
      <c r="P4" s="27">
        <v>200</v>
      </c>
      <c r="Q4" s="46" t="s">
        <v>334</v>
      </c>
    </row>
    <row r="5" spans="1:17" x14ac:dyDescent="0.35">
      <c r="A5" s="7" t="s">
        <v>3</v>
      </c>
      <c r="B5" s="8" t="s">
        <v>3</v>
      </c>
      <c r="C5" s="10">
        <v>23.43</v>
      </c>
      <c r="D5" s="10"/>
      <c r="E5" s="10"/>
      <c r="F5" s="10"/>
      <c r="G5" s="3" t="s">
        <v>201</v>
      </c>
      <c r="H5" s="9" t="s">
        <v>202</v>
      </c>
      <c r="I5" s="11" t="s">
        <v>203</v>
      </c>
      <c r="J5" s="9" t="s">
        <v>204</v>
      </c>
      <c r="K5" s="9"/>
      <c r="L5" s="10">
        <f>C5*1000/$P$4</f>
        <v>117.15</v>
      </c>
      <c r="M5" s="3" t="str">
        <f>IF(E5="","",E5*(0.9*1000/$P$5+0.1*1000/$P$6))</f>
        <v/>
      </c>
      <c r="N5" s="10">
        <f>IF(M5="",C5*($P$7*1000/$P$5+$P$8*1000/$P$6)*$P$9,M5)</f>
        <v>54.67</v>
      </c>
      <c r="P5" s="3">
        <v>300</v>
      </c>
      <c r="Q5" s="23" t="s">
        <v>335</v>
      </c>
    </row>
    <row r="6" spans="1:17" x14ac:dyDescent="0.35">
      <c r="A6" s="7" t="s">
        <v>4</v>
      </c>
      <c r="B6" s="8" t="s">
        <v>4</v>
      </c>
      <c r="C6" s="10"/>
      <c r="D6" s="10">
        <v>125.86</v>
      </c>
      <c r="E6" s="10"/>
      <c r="F6" s="10"/>
      <c r="G6" s="3" t="s">
        <v>139</v>
      </c>
      <c r="H6" s="9" t="s">
        <v>209</v>
      </c>
      <c r="I6" s="3"/>
      <c r="J6" s="3"/>
      <c r="K6" s="3"/>
      <c r="L6" s="10">
        <f>D6</f>
        <v>125.86</v>
      </c>
      <c r="M6" s="3" t="str">
        <f>IF(E6="","",E6*(0.9*1000/$P$5+0.1*1000/$P$6))</f>
        <v/>
      </c>
      <c r="N6" s="10">
        <f>L6*0.7</f>
        <v>88.10199999999999</v>
      </c>
      <c r="P6" s="3">
        <v>300</v>
      </c>
      <c r="Q6" s="23" t="s">
        <v>336</v>
      </c>
    </row>
    <row r="7" spans="1:17" x14ac:dyDescent="0.35">
      <c r="A7" s="7" t="s">
        <v>5</v>
      </c>
      <c r="B7" s="8" t="s">
        <v>5</v>
      </c>
      <c r="C7" s="10">
        <v>20.57</v>
      </c>
      <c r="D7" s="10"/>
      <c r="E7" s="10"/>
      <c r="F7" s="10">
        <f>23.4*P10</f>
        <v>28.313999999999997</v>
      </c>
      <c r="G7" s="3" t="s">
        <v>365</v>
      </c>
      <c r="H7" s="9" t="s">
        <v>238</v>
      </c>
      <c r="I7" s="11" t="s">
        <v>256</v>
      </c>
      <c r="J7" s="9" t="s">
        <v>257</v>
      </c>
      <c r="K7" s="9"/>
      <c r="L7" s="10">
        <f t="shared" ref="L7:L38" si="0">C7*1000/$P$4</f>
        <v>102.85</v>
      </c>
      <c r="M7" s="10">
        <f>F7</f>
        <v>28.313999999999997</v>
      </c>
      <c r="N7" s="10">
        <f t="shared" ref="N7:N38" si="1">IF(M7="",C7*($P$7*1000/$P$5+$P$8*1000/$P$6)*$P$9,M7)</f>
        <v>28.313999999999997</v>
      </c>
      <c r="P7" s="3">
        <v>0.9</v>
      </c>
      <c r="Q7" s="23" t="s">
        <v>338</v>
      </c>
    </row>
    <row r="8" spans="1:17" x14ac:dyDescent="0.35">
      <c r="A8" s="7" t="s">
        <v>352</v>
      </c>
      <c r="B8" s="8" t="s">
        <v>6</v>
      </c>
      <c r="C8" s="10">
        <v>18.59</v>
      </c>
      <c r="D8" s="10"/>
      <c r="E8" s="10"/>
      <c r="F8" s="10"/>
      <c r="G8" s="3" t="s">
        <v>215</v>
      </c>
      <c r="H8" s="9" t="s">
        <v>218</v>
      </c>
      <c r="I8" s="3"/>
      <c r="J8" s="3"/>
      <c r="K8" s="3"/>
      <c r="L8" s="10">
        <f t="shared" si="0"/>
        <v>92.95</v>
      </c>
      <c r="M8" s="3" t="str">
        <f t="shared" ref="M8:M14" si="2">IF(E8="","",E8*(0.9*1000/$P$5+0.1*1000/$P$6))</f>
        <v/>
      </c>
      <c r="N8" s="10">
        <f>IF(M8="",C8*($P$7*1000/$P$5+$P$8*1000/$P$6)*$P$9,M8)</f>
        <v>43.376666666666665</v>
      </c>
      <c r="P8" s="3">
        <v>0.1</v>
      </c>
      <c r="Q8" s="23" t="s">
        <v>431</v>
      </c>
    </row>
    <row r="9" spans="1:17" x14ac:dyDescent="0.35">
      <c r="A9" s="7" t="s">
        <v>353</v>
      </c>
      <c r="B9" s="8" t="s">
        <v>6</v>
      </c>
      <c r="C9" s="10">
        <v>17.05</v>
      </c>
      <c r="D9" s="10"/>
      <c r="E9" s="10"/>
      <c r="F9" s="10"/>
      <c r="G9" s="3" t="s">
        <v>216</v>
      </c>
      <c r="H9" s="9" t="s">
        <v>217</v>
      </c>
      <c r="I9" s="3"/>
      <c r="J9" s="3"/>
      <c r="K9" s="3"/>
      <c r="L9" s="10">
        <f t="shared" si="0"/>
        <v>85.25</v>
      </c>
      <c r="M9" s="3" t="str">
        <f t="shared" si="2"/>
        <v/>
      </c>
      <c r="N9" s="10">
        <f t="shared" si="1"/>
        <v>39.783333333333331</v>
      </c>
      <c r="P9" s="3">
        <v>0.7</v>
      </c>
      <c r="Q9" s="23" t="s">
        <v>339</v>
      </c>
    </row>
    <row r="10" spans="1:17" x14ac:dyDescent="0.35">
      <c r="A10" s="7" t="s">
        <v>7</v>
      </c>
      <c r="B10" s="8" t="s">
        <v>7</v>
      </c>
      <c r="C10" s="10">
        <v>15.73</v>
      </c>
      <c r="D10" s="10"/>
      <c r="E10" s="10"/>
      <c r="F10" s="10"/>
      <c r="G10" s="3" t="s">
        <v>359</v>
      </c>
      <c r="H10" s="9" t="s">
        <v>237</v>
      </c>
      <c r="I10" s="3"/>
      <c r="J10" s="3"/>
      <c r="K10" s="3"/>
      <c r="L10" s="10">
        <f t="shared" si="0"/>
        <v>78.650000000000006</v>
      </c>
      <c r="M10" s="3" t="str">
        <f t="shared" si="2"/>
        <v/>
      </c>
      <c r="N10" s="10">
        <f t="shared" si="1"/>
        <v>36.703333333333333</v>
      </c>
      <c r="P10" s="3">
        <v>1.21</v>
      </c>
      <c r="Q10" s="23" t="s">
        <v>378</v>
      </c>
    </row>
    <row r="11" spans="1:17" x14ac:dyDescent="0.35">
      <c r="A11" s="7" t="s">
        <v>135</v>
      </c>
      <c r="B11" s="8" t="s">
        <v>1</v>
      </c>
      <c r="C11" s="10">
        <v>16.78</v>
      </c>
      <c r="D11" s="35"/>
      <c r="E11" s="10">
        <v>9.36</v>
      </c>
      <c r="F11" s="12"/>
      <c r="G11" s="3" t="s">
        <v>139</v>
      </c>
      <c r="H11" s="13" t="s">
        <v>134</v>
      </c>
      <c r="I11" s="3"/>
      <c r="J11" s="3"/>
      <c r="K11" s="3"/>
      <c r="L11" s="10">
        <f t="shared" si="0"/>
        <v>83.9</v>
      </c>
      <c r="M11" s="10">
        <f t="shared" si="2"/>
        <v>31.2</v>
      </c>
      <c r="N11" s="10">
        <f t="shared" si="1"/>
        <v>31.2</v>
      </c>
    </row>
    <row r="12" spans="1:17" x14ac:dyDescent="0.35">
      <c r="A12" s="7" t="s">
        <v>136</v>
      </c>
      <c r="B12" s="8" t="s">
        <v>1</v>
      </c>
      <c r="C12" s="10">
        <v>17.07</v>
      </c>
      <c r="D12" s="35"/>
      <c r="E12" s="10">
        <v>9.68</v>
      </c>
      <c r="F12" s="12"/>
      <c r="G12" s="3" t="s">
        <v>139</v>
      </c>
      <c r="H12" s="13" t="s">
        <v>134</v>
      </c>
      <c r="I12" s="3"/>
      <c r="J12" s="3"/>
      <c r="K12" s="3"/>
      <c r="L12" s="10">
        <f t="shared" si="0"/>
        <v>85.35</v>
      </c>
      <c r="M12" s="10">
        <f>IF(E12="","",E12*(0.9*1000/$P$5+0.1*1000/$P$6))</f>
        <v>32.266666666666666</v>
      </c>
      <c r="N12" s="10">
        <f t="shared" si="1"/>
        <v>32.266666666666666</v>
      </c>
    </row>
    <row r="13" spans="1:17" x14ac:dyDescent="0.35">
      <c r="A13" s="7" t="s">
        <v>137</v>
      </c>
      <c r="B13" s="8" t="s">
        <v>1</v>
      </c>
      <c r="C13" s="10">
        <v>12.72</v>
      </c>
      <c r="D13" s="35"/>
      <c r="E13" s="10">
        <v>7.26</v>
      </c>
      <c r="F13" s="12"/>
      <c r="G13" s="3" t="s">
        <v>140</v>
      </c>
      <c r="H13" s="13" t="s">
        <v>134</v>
      </c>
      <c r="I13" s="3"/>
      <c r="J13" s="3"/>
      <c r="K13" s="3"/>
      <c r="L13" s="10">
        <f t="shared" si="0"/>
        <v>63.6</v>
      </c>
      <c r="M13" s="10">
        <f t="shared" si="2"/>
        <v>24.2</v>
      </c>
      <c r="N13" s="10">
        <f t="shared" si="1"/>
        <v>24.2</v>
      </c>
    </row>
    <row r="14" spans="1:17" x14ac:dyDescent="0.35">
      <c r="A14" s="7" t="s">
        <v>138</v>
      </c>
      <c r="B14" s="8" t="s">
        <v>1</v>
      </c>
      <c r="C14" s="10">
        <v>17.23</v>
      </c>
      <c r="D14" s="35"/>
      <c r="E14" s="10">
        <v>12.57</v>
      </c>
      <c r="F14" s="12"/>
      <c r="G14" s="3" t="s">
        <v>210</v>
      </c>
      <c r="H14" s="13" t="s">
        <v>134</v>
      </c>
      <c r="I14" s="3"/>
      <c r="J14" s="3"/>
      <c r="K14" s="3"/>
      <c r="L14" s="10">
        <f t="shared" si="0"/>
        <v>86.15</v>
      </c>
      <c r="M14" s="10">
        <f t="shared" si="2"/>
        <v>41.900000000000006</v>
      </c>
      <c r="N14" s="10">
        <f t="shared" si="1"/>
        <v>41.900000000000006</v>
      </c>
    </row>
    <row r="15" spans="1:17" x14ac:dyDescent="0.35">
      <c r="A15" s="7" t="s">
        <v>8</v>
      </c>
      <c r="B15" s="8" t="s">
        <v>194</v>
      </c>
      <c r="C15" s="10">
        <f>19.38*P10</f>
        <v>23.4498</v>
      </c>
      <c r="D15" s="10"/>
      <c r="E15" s="10"/>
      <c r="F15" s="10"/>
      <c r="G15" s="3" t="s">
        <v>150</v>
      </c>
      <c r="H15" s="9" t="s">
        <v>152</v>
      </c>
      <c r="I15" s="3"/>
      <c r="J15" s="9"/>
      <c r="K15" s="9"/>
      <c r="L15" s="10">
        <f t="shared" si="0"/>
        <v>117.249</v>
      </c>
      <c r="M15" s="3"/>
      <c r="N15" s="10">
        <f t="shared" si="1"/>
        <v>54.716199999999994</v>
      </c>
    </row>
    <row r="16" spans="1:17" x14ac:dyDescent="0.35">
      <c r="A16" s="7" t="s">
        <v>9</v>
      </c>
      <c r="B16" s="8" t="s">
        <v>9</v>
      </c>
      <c r="C16" s="10">
        <v>13.13</v>
      </c>
      <c r="D16" s="10"/>
      <c r="E16" s="10"/>
      <c r="F16" s="10"/>
      <c r="G16" s="3" t="s">
        <v>366</v>
      </c>
      <c r="H16" s="9" t="s">
        <v>240</v>
      </c>
      <c r="I16" s="3"/>
      <c r="J16" s="3"/>
      <c r="K16" s="3"/>
      <c r="L16" s="10">
        <f t="shared" si="0"/>
        <v>65.650000000000006</v>
      </c>
      <c r="M16" s="3" t="str">
        <f t="shared" ref="M16:M21" si="3">IF(E16="","",E16*(0.9*1000/$P$5+0.1*1000/$P$6))</f>
        <v/>
      </c>
      <c r="N16" s="10">
        <f>IF(M16="",C16*($P$7*1000/$P$5+$P$8*1000/$P$6)*$P$9,M16)</f>
        <v>30.63666666666667</v>
      </c>
    </row>
    <row r="17" spans="1:14" x14ac:dyDescent="0.35">
      <c r="A17" s="7" t="s">
        <v>10</v>
      </c>
      <c r="B17" s="8" t="s">
        <v>163</v>
      </c>
      <c r="C17" s="10">
        <f>19.98*P10</f>
        <v>24.175799999999999</v>
      </c>
      <c r="D17" s="10"/>
      <c r="E17" s="121"/>
      <c r="F17" s="10"/>
      <c r="G17" s="3" t="s">
        <v>212</v>
      </c>
      <c r="H17" s="9" t="s">
        <v>214</v>
      </c>
      <c r="I17" s="37">
        <f>31.25*P10</f>
        <v>37.8125</v>
      </c>
      <c r="J17" s="9" t="s">
        <v>214</v>
      </c>
      <c r="K17" s="3"/>
      <c r="L17" s="10">
        <f t="shared" si="0"/>
        <v>120.87899999999999</v>
      </c>
      <c r="M17" s="10" t="str">
        <f t="shared" si="3"/>
        <v/>
      </c>
      <c r="N17" s="10">
        <f t="shared" si="1"/>
        <v>56.410199999999996</v>
      </c>
    </row>
    <row r="18" spans="1:14" x14ac:dyDescent="0.35">
      <c r="A18" s="7" t="s">
        <v>11</v>
      </c>
      <c r="B18" s="8" t="s">
        <v>164</v>
      </c>
      <c r="C18" s="10">
        <f>(20.99+23.62)/2</f>
        <v>22.305</v>
      </c>
      <c r="D18" s="10"/>
      <c r="E18" s="10"/>
      <c r="F18" s="10"/>
      <c r="G18" s="3" t="s">
        <v>154</v>
      </c>
      <c r="H18" s="9" t="s">
        <v>153</v>
      </c>
      <c r="I18" s="3"/>
      <c r="J18" s="3"/>
      <c r="K18" s="3"/>
      <c r="L18" s="10">
        <f t="shared" si="0"/>
        <v>111.52500000000001</v>
      </c>
      <c r="M18" s="3" t="str">
        <f t="shared" si="3"/>
        <v/>
      </c>
      <c r="N18" s="10">
        <f t="shared" si="1"/>
        <v>52.045000000000002</v>
      </c>
    </row>
    <row r="19" spans="1:14" x14ac:dyDescent="0.35">
      <c r="A19" s="7" t="s">
        <v>12</v>
      </c>
      <c r="B19" s="8" t="s">
        <v>176</v>
      </c>
      <c r="C19" s="10">
        <v>18.59</v>
      </c>
      <c r="D19" s="10"/>
      <c r="E19" s="10"/>
      <c r="F19" s="10"/>
      <c r="G19" s="3" t="s">
        <v>215</v>
      </c>
      <c r="H19" s="9" t="s">
        <v>220</v>
      </c>
      <c r="I19" s="3"/>
      <c r="J19" s="3"/>
      <c r="K19" s="3"/>
      <c r="L19" s="10">
        <f t="shared" si="0"/>
        <v>92.95</v>
      </c>
      <c r="M19" s="3" t="str">
        <f t="shared" si="3"/>
        <v/>
      </c>
      <c r="N19" s="10">
        <f t="shared" si="1"/>
        <v>43.376666666666665</v>
      </c>
    </row>
    <row r="20" spans="1:14" s="17" customFormat="1" x14ac:dyDescent="0.35">
      <c r="A20" s="7" t="s">
        <v>342</v>
      </c>
      <c r="B20" s="14" t="s">
        <v>3</v>
      </c>
      <c r="C20" s="36">
        <v>22.24</v>
      </c>
      <c r="D20" s="36"/>
      <c r="E20" s="36"/>
      <c r="F20" s="36"/>
      <c r="G20" s="15" t="s">
        <v>154</v>
      </c>
      <c r="H20" s="16" t="s">
        <v>153</v>
      </c>
      <c r="I20" s="15"/>
      <c r="J20" s="15"/>
      <c r="K20" s="15"/>
      <c r="L20" s="10">
        <f t="shared" si="0"/>
        <v>111.2</v>
      </c>
      <c r="M20" s="3" t="str">
        <f t="shared" si="3"/>
        <v/>
      </c>
      <c r="N20" s="10">
        <f t="shared" si="1"/>
        <v>51.893333333333324</v>
      </c>
    </row>
    <row r="21" spans="1:14" s="17" customFormat="1" x14ac:dyDescent="0.35">
      <c r="A21" s="7" t="s">
        <v>343</v>
      </c>
      <c r="B21" s="14" t="s">
        <v>3</v>
      </c>
      <c r="C21" s="36">
        <f>15.07*P10</f>
        <v>18.2347</v>
      </c>
      <c r="D21" s="36"/>
      <c r="E21" s="36"/>
      <c r="F21" s="36"/>
      <c r="G21" s="15" t="s">
        <v>212</v>
      </c>
      <c r="H21" s="16" t="s">
        <v>213</v>
      </c>
      <c r="I21" s="15"/>
      <c r="J21" s="15"/>
      <c r="K21" s="15"/>
      <c r="L21" s="10">
        <f t="shared" si="0"/>
        <v>91.173500000000004</v>
      </c>
      <c r="M21" s="3" t="str">
        <f t="shared" si="3"/>
        <v/>
      </c>
      <c r="N21" s="10">
        <f t="shared" si="1"/>
        <v>42.54763333333333</v>
      </c>
    </row>
    <row r="22" spans="1:14" x14ac:dyDescent="0.35">
      <c r="A22" s="7" t="s">
        <v>14</v>
      </c>
      <c r="B22" s="8" t="s">
        <v>182</v>
      </c>
      <c r="C22" s="10">
        <f>20.47*P10</f>
        <v>24.768699999999999</v>
      </c>
      <c r="D22" s="10"/>
      <c r="E22" s="10"/>
      <c r="F22" s="10"/>
      <c r="G22" s="3" t="s">
        <v>150</v>
      </c>
      <c r="H22" s="9" t="s">
        <v>152</v>
      </c>
      <c r="I22" s="3"/>
      <c r="J22" s="9"/>
      <c r="K22" s="9"/>
      <c r="L22" s="10">
        <f t="shared" si="0"/>
        <v>123.84350000000001</v>
      </c>
      <c r="M22" s="3"/>
      <c r="N22" s="10">
        <f t="shared" si="1"/>
        <v>57.793633333333325</v>
      </c>
    </row>
    <row r="23" spans="1:14" x14ac:dyDescent="0.35">
      <c r="A23" s="7" t="s">
        <v>15</v>
      </c>
      <c r="B23" s="8" t="s">
        <v>180</v>
      </c>
      <c r="C23" s="10">
        <v>15.02</v>
      </c>
      <c r="D23" s="10"/>
      <c r="E23" s="10"/>
      <c r="F23" s="10"/>
      <c r="G23" s="3" t="s">
        <v>366</v>
      </c>
      <c r="H23" s="9" t="s">
        <v>240</v>
      </c>
      <c r="I23" s="3"/>
      <c r="J23" s="3"/>
      <c r="K23" s="3"/>
      <c r="L23" s="10">
        <f t="shared" si="0"/>
        <v>75.099999999999994</v>
      </c>
      <c r="M23" s="3" t="str">
        <f>IF(E23="","",E23*(0.9*1000/$P$5+0.1*1000/$P$6))</f>
        <v/>
      </c>
      <c r="N23" s="10">
        <f t="shared" si="1"/>
        <v>35.046666666666667</v>
      </c>
    </row>
    <row r="24" spans="1:14" x14ac:dyDescent="0.35">
      <c r="A24" s="7" t="s">
        <v>16</v>
      </c>
      <c r="B24" s="8" t="s">
        <v>196</v>
      </c>
      <c r="C24" s="10">
        <v>18.91</v>
      </c>
      <c r="D24" s="10"/>
      <c r="E24" s="10"/>
      <c r="F24" s="10"/>
      <c r="G24" s="3" t="s">
        <v>225</v>
      </c>
      <c r="H24" s="9" t="s">
        <v>226</v>
      </c>
      <c r="I24" s="3"/>
      <c r="J24" s="3"/>
      <c r="K24" s="3"/>
      <c r="L24" s="10">
        <f t="shared" si="0"/>
        <v>94.55</v>
      </c>
      <c r="M24" s="3" t="str">
        <f>IF(E24="","",E24*(0.9*1000/$P$5+0.1*1000/$P$6))</f>
        <v/>
      </c>
      <c r="N24" s="10">
        <f t="shared" si="1"/>
        <v>44.123333333333335</v>
      </c>
    </row>
    <row r="25" spans="1:14" x14ac:dyDescent="0.35">
      <c r="A25" s="7" t="s">
        <v>17</v>
      </c>
      <c r="B25" s="8" t="s">
        <v>174</v>
      </c>
      <c r="C25" s="10">
        <f>19.69*P10</f>
        <v>23.8249</v>
      </c>
      <c r="D25" s="10"/>
      <c r="E25" s="10"/>
      <c r="F25" s="10"/>
      <c r="G25" s="3" t="s">
        <v>150</v>
      </c>
      <c r="H25" s="9" t="s">
        <v>152</v>
      </c>
      <c r="I25" s="3"/>
      <c r="J25" s="9"/>
      <c r="K25" s="9"/>
      <c r="L25" s="10">
        <f t="shared" si="0"/>
        <v>119.12449999999998</v>
      </c>
      <c r="M25" s="3"/>
      <c r="N25" s="10">
        <f t="shared" si="1"/>
        <v>55.591433333333335</v>
      </c>
    </row>
    <row r="26" spans="1:14" x14ac:dyDescent="0.35">
      <c r="A26" s="7" t="s">
        <v>18</v>
      </c>
      <c r="B26" s="8" t="s">
        <v>191</v>
      </c>
      <c r="C26" s="10">
        <f>20.12*P10</f>
        <v>24.345200000000002</v>
      </c>
      <c r="D26" s="10"/>
      <c r="E26" s="10"/>
      <c r="F26" s="10"/>
      <c r="G26" s="3" t="s">
        <v>150</v>
      </c>
      <c r="H26" s="9" t="s">
        <v>152</v>
      </c>
      <c r="I26" s="3"/>
      <c r="J26" s="9"/>
      <c r="K26" s="9"/>
      <c r="L26" s="10">
        <f t="shared" si="0"/>
        <v>121.726</v>
      </c>
      <c r="M26" s="3"/>
      <c r="N26" s="10">
        <f t="shared" si="1"/>
        <v>56.805466666666675</v>
      </c>
    </row>
    <row r="27" spans="1:14" x14ac:dyDescent="0.35">
      <c r="A27" s="7" t="s">
        <v>19</v>
      </c>
      <c r="B27" s="8" t="s">
        <v>177</v>
      </c>
      <c r="C27" s="10">
        <v>18.16</v>
      </c>
      <c r="D27" s="10"/>
      <c r="E27" s="10"/>
      <c r="F27" s="10"/>
      <c r="G27" s="3" t="s">
        <v>210</v>
      </c>
      <c r="H27" s="9" t="s">
        <v>211</v>
      </c>
      <c r="I27" s="3"/>
      <c r="J27" s="3"/>
      <c r="K27" s="3"/>
      <c r="L27" s="10">
        <f t="shared" si="0"/>
        <v>90.8</v>
      </c>
      <c r="M27" s="3" t="str">
        <f>IF(E27="","",E27*(0.9*1000/$P$5+0.1*1000/$P$6))</f>
        <v/>
      </c>
      <c r="N27" s="10">
        <f t="shared" si="1"/>
        <v>42.373333333333335</v>
      </c>
    </row>
    <row r="28" spans="1:14" x14ac:dyDescent="0.35">
      <c r="A28" s="7" t="s">
        <v>20</v>
      </c>
      <c r="B28" s="8" t="s">
        <v>172</v>
      </c>
      <c r="C28" s="10">
        <v>18.53</v>
      </c>
      <c r="D28" s="10"/>
      <c r="E28" s="10"/>
      <c r="F28" s="10"/>
      <c r="G28" s="3" t="s">
        <v>210</v>
      </c>
      <c r="H28" s="9" t="s">
        <v>211</v>
      </c>
      <c r="I28" s="3"/>
      <c r="J28" s="3"/>
      <c r="K28" s="3"/>
      <c r="L28" s="10">
        <f t="shared" si="0"/>
        <v>92.65</v>
      </c>
      <c r="M28" s="3" t="str">
        <f>IF(E28="","",E28*(0.9*1000/$P$5+0.1*1000/$P$6))</f>
        <v/>
      </c>
      <c r="N28" s="10">
        <f t="shared" si="1"/>
        <v>43.236666666666672</v>
      </c>
    </row>
    <row r="29" spans="1:14" x14ac:dyDescent="0.35">
      <c r="A29" s="7" t="s">
        <v>21</v>
      </c>
      <c r="B29" s="8" t="s">
        <v>185</v>
      </c>
      <c r="C29" s="10">
        <v>18.09</v>
      </c>
      <c r="D29" s="10"/>
      <c r="E29" s="10"/>
      <c r="F29" s="10"/>
      <c r="G29" s="3" t="s">
        <v>210</v>
      </c>
      <c r="H29" s="9" t="s">
        <v>211</v>
      </c>
      <c r="I29" s="3"/>
      <c r="J29" s="3"/>
      <c r="K29" s="3"/>
      <c r="L29" s="10">
        <f t="shared" si="0"/>
        <v>90.45</v>
      </c>
      <c r="M29" s="3" t="str">
        <f>IF(E29="","",E29*(0.9*1000/$P$5+0.1*1000/$P$6))</f>
        <v/>
      </c>
      <c r="N29" s="10">
        <f t="shared" si="1"/>
        <v>42.21</v>
      </c>
    </row>
    <row r="30" spans="1:14" x14ac:dyDescent="0.35">
      <c r="A30" s="7" t="s">
        <v>22</v>
      </c>
      <c r="B30" s="8" t="s">
        <v>181</v>
      </c>
      <c r="C30" s="10">
        <f>12.56*P10</f>
        <v>15.1976</v>
      </c>
      <c r="D30" s="10"/>
      <c r="E30" s="10"/>
      <c r="F30" s="10"/>
      <c r="G30" s="3" t="s">
        <v>360</v>
      </c>
      <c r="H30" s="3"/>
      <c r="I30" s="3"/>
      <c r="J30" s="3"/>
      <c r="K30" s="3"/>
      <c r="L30" s="10">
        <f t="shared" si="0"/>
        <v>75.988</v>
      </c>
      <c r="M30" s="3" t="str">
        <f>IF(E30="","",E30*(0.9*1000/$P$5+0.1*1000/$P$6))</f>
        <v/>
      </c>
      <c r="N30" s="10">
        <f t="shared" si="1"/>
        <v>35.461066666666667</v>
      </c>
    </row>
    <row r="31" spans="1:14" x14ac:dyDescent="0.35">
      <c r="A31" s="7" t="s">
        <v>23</v>
      </c>
      <c r="B31" s="8" t="s">
        <v>175</v>
      </c>
      <c r="C31" s="10">
        <f>20.12*P10</f>
        <v>24.345200000000002</v>
      </c>
      <c r="D31" s="10"/>
      <c r="E31" s="10"/>
      <c r="F31" s="10"/>
      <c r="G31" s="3" t="s">
        <v>150</v>
      </c>
      <c r="H31" s="9" t="s">
        <v>261</v>
      </c>
      <c r="I31" s="3"/>
      <c r="J31" s="3"/>
      <c r="K31" s="3"/>
      <c r="L31" s="10">
        <f t="shared" si="0"/>
        <v>121.726</v>
      </c>
      <c r="M31" s="3" t="str">
        <f>IF(E31="","",E31*(0.9*1000/$P$5+0.1*1000/$P$6))</f>
        <v/>
      </c>
      <c r="N31" s="10">
        <f t="shared" si="1"/>
        <v>56.805466666666675</v>
      </c>
    </row>
    <row r="32" spans="1:14" x14ac:dyDescent="0.35">
      <c r="A32" s="7" t="s">
        <v>344</v>
      </c>
      <c r="B32" s="8" t="s">
        <v>175</v>
      </c>
      <c r="C32" s="37">
        <f>20.12*P10</f>
        <v>24.345200000000002</v>
      </c>
      <c r="D32" s="10"/>
      <c r="E32" s="10"/>
      <c r="F32" s="10"/>
      <c r="G32" s="3" t="s">
        <v>150</v>
      </c>
      <c r="H32" s="9" t="s">
        <v>152</v>
      </c>
      <c r="I32" s="3"/>
      <c r="J32" s="9"/>
      <c r="K32" s="9"/>
      <c r="L32" s="10">
        <f t="shared" si="0"/>
        <v>121.726</v>
      </c>
      <c r="M32" s="3"/>
      <c r="N32" s="10">
        <f t="shared" si="1"/>
        <v>56.805466666666675</v>
      </c>
    </row>
    <row r="33" spans="1:14" x14ac:dyDescent="0.35">
      <c r="A33" s="7" t="s">
        <v>345</v>
      </c>
      <c r="B33" s="8" t="s">
        <v>175</v>
      </c>
      <c r="C33" s="10">
        <v>21.71</v>
      </c>
      <c r="D33" s="10"/>
      <c r="E33" s="10"/>
      <c r="F33" s="10"/>
      <c r="G33" s="3" t="s">
        <v>225</v>
      </c>
      <c r="H33" s="9" t="s">
        <v>230</v>
      </c>
      <c r="I33" s="3"/>
      <c r="J33" s="9"/>
      <c r="K33" s="9"/>
      <c r="L33" s="10">
        <f t="shared" si="0"/>
        <v>108.55</v>
      </c>
      <c r="M33" s="3" t="str">
        <f>IF(E33="","",E33*(0.9*1000/$P$5+0.1*1000/$P$6))</f>
        <v/>
      </c>
      <c r="N33" s="10">
        <f t="shared" si="1"/>
        <v>50.656666666666666</v>
      </c>
    </row>
    <row r="34" spans="1:14" x14ac:dyDescent="0.35">
      <c r="A34" s="7" t="s">
        <v>25</v>
      </c>
      <c r="B34" s="8" t="s">
        <v>173</v>
      </c>
      <c r="C34" s="10">
        <v>24.16</v>
      </c>
      <c r="D34" s="10"/>
      <c r="E34" s="10">
        <v>12.46</v>
      </c>
      <c r="F34" s="10"/>
      <c r="G34" s="3" t="s">
        <v>245</v>
      </c>
      <c r="H34" s="9" t="s">
        <v>246</v>
      </c>
      <c r="I34" s="3"/>
      <c r="J34" s="3"/>
      <c r="K34" s="3"/>
      <c r="L34" s="10">
        <f t="shared" si="0"/>
        <v>120.8</v>
      </c>
      <c r="M34" s="10">
        <f>IF(E34="","",E34*(0.9*1000/$P$5+0.1*1000/$P$6))</f>
        <v>41.533333333333339</v>
      </c>
      <c r="N34" s="10">
        <f t="shared" si="1"/>
        <v>41.533333333333339</v>
      </c>
    </row>
    <row r="35" spans="1:14" x14ac:dyDescent="0.35">
      <c r="A35" s="7" t="s">
        <v>26</v>
      </c>
      <c r="B35" s="8" t="s">
        <v>194</v>
      </c>
      <c r="C35" s="37">
        <f>20.47*P10</f>
        <v>24.768699999999999</v>
      </c>
      <c r="D35" s="10"/>
      <c r="E35" s="10"/>
      <c r="F35" s="10"/>
      <c r="G35" s="3" t="s">
        <v>150</v>
      </c>
      <c r="H35" s="9" t="s">
        <v>261</v>
      </c>
      <c r="I35" s="3"/>
      <c r="J35" s="3"/>
      <c r="K35" s="3"/>
      <c r="L35" s="10">
        <f t="shared" si="0"/>
        <v>123.84350000000001</v>
      </c>
      <c r="M35" s="3" t="str">
        <f>IF(E35="","",E35*(0.9*1000/$P$5+0.1*1000/$P$6))</f>
        <v/>
      </c>
      <c r="N35" s="10">
        <f t="shared" si="1"/>
        <v>57.793633333333325</v>
      </c>
    </row>
    <row r="36" spans="1:14" x14ac:dyDescent="0.35">
      <c r="A36" s="7" t="s">
        <v>27</v>
      </c>
      <c r="B36" s="8" t="s">
        <v>166</v>
      </c>
      <c r="C36" s="10">
        <v>23.72</v>
      </c>
      <c r="D36" s="10"/>
      <c r="E36" s="10"/>
      <c r="F36" s="10"/>
      <c r="G36" s="3" t="s">
        <v>215</v>
      </c>
      <c r="H36" s="9" t="s">
        <v>223</v>
      </c>
      <c r="I36" s="3"/>
      <c r="J36" s="3"/>
      <c r="K36" s="3"/>
      <c r="L36" s="10">
        <f t="shared" si="0"/>
        <v>118.6</v>
      </c>
      <c r="M36" s="3" t="str">
        <f>IF(E36="","",E36*(0.9*1000/$P$5+0.1*1000/$P$6))</f>
        <v/>
      </c>
      <c r="N36" s="10">
        <f t="shared" si="1"/>
        <v>55.346666666666664</v>
      </c>
    </row>
    <row r="37" spans="1:14" x14ac:dyDescent="0.35">
      <c r="A37" s="7" t="s">
        <v>28</v>
      </c>
      <c r="B37" s="8" t="s">
        <v>194</v>
      </c>
      <c r="C37" s="10">
        <f>20.47*P10</f>
        <v>24.768699999999999</v>
      </c>
      <c r="D37" s="10"/>
      <c r="E37" s="10"/>
      <c r="F37" s="10"/>
      <c r="G37" s="3" t="s">
        <v>150</v>
      </c>
      <c r="H37" s="9" t="s">
        <v>152</v>
      </c>
      <c r="I37" s="3"/>
      <c r="J37" s="9"/>
      <c r="K37" s="9"/>
      <c r="L37" s="10">
        <f t="shared" si="0"/>
        <v>123.84350000000001</v>
      </c>
      <c r="M37" s="3"/>
      <c r="N37" s="10">
        <f t="shared" si="1"/>
        <v>57.793633333333325</v>
      </c>
    </row>
    <row r="38" spans="1:14" x14ac:dyDescent="0.35">
      <c r="A38" s="7" t="s">
        <v>29</v>
      </c>
      <c r="B38" s="8" t="s">
        <v>172</v>
      </c>
      <c r="C38" s="10">
        <v>15.81</v>
      </c>
      <c r="D38" s="10"/>
      <c r="E38" s="10"/>
      <c r="F38" s="10"/>
      <c r="G38" s="3" t="s">
        <v>139</v>
      </c>
      <c r="H38" s="9" t="s">
        <v>209</v>
      </c>
      <c r="I38" s="3"/>
      <c r="J38" s="3"/>
      <c r="K38" s="3"/>
      <c r="L38" s="10">
        <f t="shared" si="0"/>
        <v>79.05</v>
      </c>
      <c r="M38" s="3" t="str">
        <f>IF(E38="","",E38*(0.9*1000/$P$5+0.1*1000/$P$6))</f>
        <v/>
      </c>
      <c r="N38" s="10">
        <f t="shared" si="1"/>
        <v>36.89</v>
      </c>
    </row>
    <row r="39" spans="1:14" x14ac:dyDescent="0.35">
      <c r="A39" s="7" t="s">
        <v>30</v>
      </c>
      <c r="B39" s="8" t="s">
        <v>184</v>
      </c>
      <c r="C39" s="10">
        <v>25.23</v>
      </c>
      <c r="D39" s="10"/>
      <c r="E39" s="10"/>
      <c r="F39" s="10"/>
      <c r="G39" s="3" t="s">
        <v>225</v>
      </c>
      <c r="H39" s="9" t="s">
        <v>228</v>
      </c>
      <c r="I39" s="3"/>
      <c r="J39" s="3"/>
      <c r="K39" s="3"/>
      <c r="L39" s="10">
        <f t="shared" ref="L39:L64" si="4">C39*1000/$P$4</f>
        <v>126.15</v>
      </c>
      <c r="M39" s="3" t="str">
        <f>IF(E39="","",E39*(0.9*1000/$P$5+0.1*1000/$P$6))</f>
        <v/>
      </c>
      <c r="N39" s="10">
        <f t="shared" ref="N39:N64" si="5">IF(M39="",C39*($P$7*1000/$P$5+$P$8*1000/$P$6)*$P$9,M39)</f>
        <v>58.870000000000005</v>
      </c>
    </row>
    <row r="40" spans="1:14" x14ac:dyDescent="0.35">
      <c r="A40" s="7" t="s">
        <v>31</v>
      </c>
      <c r="B40" s="8" t="s">
        <v>174</v>
      </c>
      <c r="C40" s="10">
        <f>20.16*P10</f>
        <v>24.393599999999999</v>
      </c>
      <c r="D40" s="10"/>
      <c r="E40" s="10"/>
      <c r="F40" s="10"/>
      <c r="G40" s="3" t="s">
        <v>150</v>
      </c>
      <c r="H40" s="9" t="s">
        <v>152</v>
      </c>
      <c r="I40" s="3"/>
      <c r="J40" s="9"/>
      <c r="K40" s="9"/>
      <c r="L40" s="10">
        <f t="shared" si="4"/>
        <v>121.96799999999999</v>
      </c>
      <c r="M40" s="3"/>
      <c r="N40" s="10">
        <f t="shared" si="5"/>
        <v>56.918399999999991</v>
      </c>
    </row>
    <row r="41" spans="1:14" x14ac:dyDescent="0.35">
      <c r="A41" s="7" t="s">
        <v>32</v>
      </c>
      <c r="B41" s="8" t="s">
        <v>183</v>
      </c>
      <c r="C41" s="10">
        <v>15.73</v>
      </c>
      <c r="D41" s="10"/>
      <c r="E41" s="10"/>
      <c r="F41" s="10"/>
      <c r="G41" s="3" t="s">
        <v>359</v>
      </c>
      <c r="H41" s="9" t="s">
        <v>237</v>
      </c>
      <c r="I41" s="3"/>
      <c r="J41" s="3"/>
      <c r="K41" s="3"/>
      <c r="L41" s="10">
        <f t="shared" si="4"/>
        <v>78.650000000000006</v>
      </c>
      <c r="M41" s="3" t="str">
        <f t="shared" ref="M41:M62" si="6">IF(E41="","",E41*(0.9*1000/$P$5+0.1*1000/$P$6))</f>
        <v/>
      </c>
      <c r="N41" s="10">
        <f t="shared" si="5"/>
        <v>36.703333333333333</v>
      </c>
    </row>
    <row r="42" spans="1:14" x14ac:dyDescent="0.35">
      <c r="A42" s="7" t="s">
        <v>33</v>
      </c>
      <c r="B42" s="8" t="s">
        <v>179</v>
      </c>
      <c r="C42" s="10">
        <v>25.06</v>
      </c>
      <c r="D42" s="10"/>
      <c r="E42" s="10"/>
      <c r="F42" s="10"/>
      <c r="G42" s="3" t="s">
        <v>139</v>
      </c>
      <c r="H42" s="9" t="s">
        <v>209</v>
      </c>
      <c r="I42" s="3"/>
      <c r="J42" s="3"/>
      <c r="K42" s="3"/>
      <c r="L42" s="10">
        <f t="shared" si="4"/>
        <v>125.3</v>
      </c>
      <c r="M42" s="3" t="str">
        <f t="shared" si="6"/>
        <v/>
      </c>
      <c r="N42" s="10">
        <f t="shared" si="5"/>
        <v>58.473333333333329</v>
      </c>
    </row>
    <row r="43" spans="1:14" x14ac:dyDescent="0.35">
      <c r="A43" s="7" t="s">
        <v>34</v>
      </c>
      <c r="B43" s="8" t="s">
        <v>171</v>
      </c>
      <c r="C43" s="10">
        <v>16.899999999999999</v>
      </c>
      <c r="D43" s="10"/>
      <c r="E43" s="10"/>
      <c r="F43" s="10"/>
      <c r="G43" s="3" t="s">
        <v>358</v>
      </c>
      <c r="H43" s="9" t="s">
        <v>233</v>
      </c>
      <c r="I43" s="3"/>
      <c r="J43" s="3"/>
      <c r="K43" s="3"/>
      <c r="L43" s="10">
        <f t="shared" si="4"/>
        <v>84.5</v>
      </c>
      <c r="M43" s="3" t="str">
        <f t="shared" si="6"/>
        <v/>
      </c>
      <c r="N43" s="10">
        <f t="shared" si="5"/>
        <v>39.43333333333333</v>
      </c>
    </row>
    <row r="44" spans="1:14" x14ac:dyDescent="0.35">
      <c r="A44" s="7" t="s">
        <v>35</v>
      </c>
      <c r="B44" s="8" t="s">
        <v>177</v>
      </c>
      <c r="C44" s="10">
        <v>24.16</v>
      </c>
      <c r="D44" s="10"/>
      <c r="E44" s="10"/>
      <c r="F44" s="10"/>
      <c r="G44" s="3" t="s">
        <v>367</v>
      </c>
      <c r="H44" s="9" t="s">
        <v>247</v>
      </c>
      <c r="I44" s="3"/>
      <c r="J44" s="3"/>
      <c r="K44" s="3"/>
      <c r="L44" s="10">
        <f t="shared" si="4"/>
        <v>120.8</v>
      </c>
      <c r="M44" s="3" t="str">
        <f t="shared" si="6"/>
        <v/>
      </c>
      <c r="N44" s="10">
        <f t="shared" si="5"/>
        <v>56.373333333333328</v>
      </c>
    </row>
    <row r="45" spans="1:14" x14ac:dyDescent="0.35">
      <c r="A45" s="7" t="s">
        <v>36</v>
      </c>
      <c r="B45" s="8" t="s">
        <v>192</v>
      </c>
      <c r="C45" s="10">
        <v>17.21</v>
      </c>
      <c r="D45" s="10"/>
      <c r="E45" s="10">
        <v>19.059999999999999</v>
      </c>
      <c r="F45" s="10"/>
      <c r="G45" s="3" t="s">
        <v>248</v>
      </c>
      <c r="H45" s="9" t="s">
        <v>249</v>
      </c>
      <c r="I45" s="3"/>
      <c r="J45" s="3"/>
      <c r="K45" s="3"/>
      <c r="L45" s="10">
        <f t="shared" si="4"/>
        <v>86.05</v>
      </c>
      <c r="M45" s="10">
        <f t="shared" si="6"/>
        <v>63.533333333333331</v>
      </c>
      <c r="N45" s="10">
        <f t="shared" si="5"/>
        <v>63.533333333333331</v>
      </c>
    </row>
    <row r="46" spans="1:14" x14ac:dyDescent="0.35">
      <c r="A46" s="7" t="s">
        <v>37</v>
      </c>
      <c r="B46" s="8" t="s">
        <v>176</v>
      </c>
      <c r="C46" s="10">
        <f>16.79*P10</f>
        <v>20.315899999999999</v>
      </c>
      <c r="D46" s="10"/>
      <c r="E46" s="10"/>
      <c r="F46" s="10"/>
      <c r="G46" s="3" t="s">
        <v>215</v>
      </c>
      <c r="H46" s="9" t="s">
        <v>255</v>
      </c>
      <c r="I46" s="3"/>
      <c r="J46" s="3"/>
      <c r="K46" s="3"/>
      <c r="L46" s="10">
        <f t="shared" si="4"/>
        <v>101.5795</v>
      </c>
      <c r="M46" s="3" t="str">
        <f t="shared" si="6"/>
        <v/>
      </c>
      <c r="N46" s="10">
        <f t="shared" si="5"/>
        <v>47.403766666666662</v>
      </c>
    </row>
    <row r="47" spans="1:14" x14ac:dyDescent="0.35">
      <c r="A47" s="7" t="s">
        <v>38</v>
      </c>
      <c r="B47" s="8" t="s">
        <v>193</v>
      </c>
      <c r="C47" s="10">
        <v>17.21</v>
      </c>
      <c r="D47" s="10"/>
      <c r="E47" s="10">
        <v>19.059999999999999</v>
      </c>
      <c r="F47" s="10"/>
      <c r="G47" s="3" t="s">
        <v>248</v>
      </c>
      <c r="H47" s="9" t="s">
        <v>249</v>
      </c>
      <c r="I47" s="3"/>
      <c r="J47" s="3"/>
      <c r="K47" s="3"/>
      <c r="L47" s="10">
        <f t="shared" si="4"/>
        <v>86.05</v>
      </c>
      <c r="M47" s="10">
        <f t="shared" si="6"/>
        <v>63.533333333333331</v>
      </c>
      <c r="N47" s="10">
        <f t="shared" si="5"/>
        <v>63.533333333333331</v>
      </c>
    </row>
    <row r="48" spans="1:14" x14ac:dyDescent="0.35">
      <c r="A48" s="7" t="s">
        <v>39</v>
      </c>
      <c r="B48" s="8" t="s">
        <v>184</v>
      </c>
      <c r="C48" s="10">
        <v>24.96</v>
      </c>
      <c r="D48" s="10"/>
      <c r="E48" s="10"/>
      <c r="F48" s="10"/>
      <c r="G48" s="3" t="s">
        <v>225</v>
      </c>
      <c r="H48" s="9" t="s">
        <v>229</v>
      </c>
      <c r="I48" s="3"/>
      <c r="J48" s="3"/>
      <c r="K48" s="3"/>
      <c r="L48" s="10">
        <f t="shared" si="4"/>
        <v>124.8</v>
      </c>
      <c r="M48" s="3" t="str">
        <f t="shared" si="6"/>
        <v/>
      </c>
      <c r="N48" s="10">
        <f t="shared" si="5"/>
        <v>58.239999999999995</v>
      </c>
    </row>
    <row r="49" spans="1:14" x14ac:dyDescent="0.35">
      <c r="A49" s="7" t="s">
        <v>40</v>
      </c>
      <c r="B49" s="8" t="s">
        <v>188</v>
      </c>
      <c r="C49" s="10">
        <f>14.72*P10</f>
        <v>17.811199999999999</v>
      </c>
      <c r="D49" s="10"/>
      <c r="E49" s="10">
        <v>13.44</v>
      </c>
      <c r="F49" s="10"/>
      <c r="G49" s="3" t="s">
        <v>251</v>
      </c>
      <c r="H49" s="9" t="s">
        <v>252</v>
      </c>
      <c r="I49" s="3" t="s">
        <v>254</v>
      </c>
      <c r="J49" s="9" t="s">
        <v>253</v>
      </c>
      <c r="K49" s="9"/>
      <c r="L49" s="10">
        <f t="shared" si="4"/>
        <v>89.055999999999997</v>
      </c>
      <c r="M49" s="10">
        <f t="shared" si="6"/>
        <v>44.8</v>
      </c>
      <c r="N49" s="10">
        <f t="shared" si="5"/>
        <v>44.8</v>
      </c>
    </row>
    <row r="50" spans="1:14" x14ac:dyDescent="0.35">
      <c r="A50" s="7" t="s">
        <v>41</v>
      </c>
      <c r="B50" s="8" t="s">
        <v>176</v>
      </c>
      <c r="C50" s="10">
        <v>18.59</v>
      </c>
      <c r="D50" s="10"/>
      <c r="E50" s="10"/>
      <c r="F50" s="10"/>
      <c r="G50" s="3" t="s">
        <v>215</v>
      </c>
      <c r="H50" s="9" t="s">
        <v>219</v>
      </c>
      <c r="I50" s="3"/>
      <c r="J50" s="3"/>
      <c r="K50" s="3"/>
      <c r="L50" s="10">
        <f t="shared" si="4"/>
        <v>92.95</v>
      </c>
      <c r="M50" s="3" t="str">
        <f t="shared" si="6"/>
        <v/>
      </c>
      <c r="N50" s="10">
        <f t="shared" si="5"/>
        <v>43.376666666666665</v>
      </c>
    </row>
    <row r="51" spans="1:14" x14ac:dyDescent="0.35">
      <c r="A51" s="7" t="s">
        <v>42</v>
      </c>
      <c r="B51" s="8" t="s">
        <v>197</v>
      </c>
      <c r="C51" s="10">
        <v>24.16</v>
      </c>
      <c r="D51" s="10"/>
      <c r="E51" s="10"/>
      <c r="F51" s="10"/>
      <c r="G51" s="3" t="s">
        <v>225</v>
      </c>
      <c r="H51" s="9" t="s">
        <v>227</v>
      </c>
      <c r="I51" s="9" t="s">
        <v>242</v>
      </c>
      <c r="J51" s="3"/>
      <c r="K51" s="3"/>
      <c r="L51" s="10">
        <f t="shared" si="4"/>
        <v>120.8</v>
      </c>
      <c r="M51" s="3" t="str">
        <f t="shared" si="6"/>
        <v/>
      </c>
      <c r="N51" s="10">
        <f t="shared" si="5"/>
        <v>56.373333333333328</v>
      </c>
    </row>
    <row r="52" spans="1:14" x14ac:dyDescent="0.35">
      <c r="A52" s="7" t="s">
        <v>43</v>
      </c>
      <c r="B52" s="8" t="s">
        <v>173</v>
      </c>
      <c r="C52" s="10">
        <f>(20.49*6+21.19*5+22.25*1)/12</f>
        <v>20.928333333333331</v>
      </c>
      <c r="D52" s="10"/>
      <c r="E52" s="10"/>
      <c r="F52" s="10"/>
      <c r="G52" s="3" t="s">
        <v>368</v>
      </c>
      <c r="H52" s="9" t="s">
        <v>250</v>
      </c>
      <c r="I52" s="3"/>
      <c r="J52" s="3"/>
      <c r="K52" s="3"/>
      <c r="L52" s="10">
        <f t="shared" si="4"/>
        <v>104.64166666666667</v>
      </c>
      <c r="M52" s="3" t="str">
        <f t="shared" si="6"/>
        <v/>
      </c>
      <c r="N52" s="10">
        <f t="shared" si="5"/>
        <v>48.832777777777771</v>
      </c>
    </row>
    <row r="53" spans="1:14" x14ac:dyDescent="0.35">
      <c r="A53" s="7" t="s">
        <v>44</v>
      </c>
      <c r="B53" s="8" t="s">
        <v>186</v>
      </c>
      <c r="C53" s="10">
        <v>15.52</v>
      </c>
      <c r="D53" s="10"/>
      <c r="E53" s="10"/>
      <c r="F53" s="10"/>
      <c r="G53" s="3" t="s">
        <v>139</v>
      </c>
      <c r="H53" s="9" t="s">
        <v>209</v>
      </c>
      <c r="I53" s="3"/>
      <c r="J53" s="3"/>
      <c r="K53" s="3"/>
      <c r="L53" s="10">
        <f t="shared" si="4"/>
        <v>77.599999999999994</v>
      </c>
      <c r="M53" s="3" t="str">
        <f t="shared" si="6"/>
        <v/>
      </c>
      <c r="N53" s="10">
        <f t="shared" si="5"/>
        <v>36.213333333333331</v>
      </c>
    </row>
    <row r="54" spans="1:14" x14ac:dyDescent="0.35">
      <c r="A54" s="7" t="s">
        <v>45</v>
      </c>
      <c r="B54" s="8" t="s">
        <v>171</v>
      </c>
      <c r="C54" s="10">
        <v>18.54</v>
      </c>
      <c r="D54" s="10"/>
      <c r="E54" s="10"/>
      <c r="F54" s="10"/>
      <c r="G54" s="3" t="s">
        <v>358</v>
      </c>
      <c r="H54" s="9" t="s">
        <v>234</v>
      </c>
      <c r="I54" s="3"/>
      <c r="J54" s="3"/>
      <c r="K54" s="3"/>
      <c r="L54" s="10">
        <f t="shared" si="4"/>
        <v>92.7</v>
      </c>
      <c r="M54" s="3" t="str">
        <f t="shared" si="6"/>
        <v/>
      </c>
      <c r="N54" s="10">
        <f t="shared" si="5"/>
        <v>43.26</v>
      </c>
    </row>
    <row r="55" spans="1:14" x14ac:dyDescent="0.35">
      <c r="A55" s="7" t="s">
        <v>46</v>
      </c>
      <c r="B55" s="8" t="s">
        <v>190</v>
      </c>
      <c r="C55" s="10">
        <v>19.64</v>
      </c>
      <c r="D55" s="10"/>
      <c r="E55" s="10"/>
      <c r="F55" s="10"/>
      <c r="G55" s="3" t="s">
        <v>139</v>
      </c>
      <c r="H55" s="9" t="s">
        <v>209</v>
      </c>
      <c r="I55" s="3"/>
      <c r="J55" s="3"/>
      <c r="K55" s="3"/>
      <c r="L55" s="10">
        <f t="shared" si="4"/>
        <v>98.2</v>
      </c>
      <c r="M55" s="3" t="str">
        <f t="shared" si="6"/>
        <v/>
      </c>
      <c r="N55" s="10">
        <f t="shared" si="5"/>
        <v>45.826666666666668</v>
      </c>
    </row>
    <row r="56" spans="1:14" x14ac:dyDescent="0.35">
      <c r="A56" s="7" t="s">
        <v>47</v>
      </c>
      <c r="B56" s="8" t="s">
        <v>164</v>
      </c>
      <c r="C56" s="10">
        <v>20.99</v>
      </c>
      <c r="D56" s="10"/>
      <c r="E56" s="10"/>
      <c r="F56" s="10"/>
      <c r="G56" s="3" t="s">
        <v>154</v>
      </c>
      <c r="H56" s="9" t="s">
        <v>153</v>
      </c>
      <c r="I56" s="3"/>
      <c r="J56" s="3"/>
      <c r="K56" s="3"/>
      <c r="L56" s="10">
        <f t="shared" si="4"/>
        <v>104.95</v>
      </c>
      <c r="M56" s="3" t="str">
        <f t="shared" si="6"/>
        <v/>
      </c>
      <c r="N56" s="10">
        <f t="shared" si="5"/>
        <v>48.976666666666667</v>
      </c>
    </row>
    <row r="57" spans="1:14" x14ac:dyDescent="0.35">
      <c r="A57" s="7" t="s">
        <v>48</v>
      </c>
      <c r="B57" s="8" t="s">
        <v>174</v>
      </c>
      <c r="C57" s="10">
        <f>20.47*P10</f>
        <v>24.768699999999999</v>
      </c>
      <c r="D57" s="10"/>
      <c r="E57" s="10"/>
      <c r="F57" s="10"/>
      <c r="G57" s="3" t="s">
        <v>150</v>
      </c>
      <c r="H57" s="9" t="s">
        <v>261</v>
      </c>
      <c r="I57" s="3"/>
      <c r="J57" s="3"/>
      <c r="K57" s="3"/>
      <c r="L57" s="10">
        <f t="shared" si="4"/>
        <v>123.84350000000001</v>
      </c>
      <c r="M57" s="3" t="str">
        <f t="shared" si="6"/>
        <v/>
      </c>
      <c r="N57" s="10">
        <f t="shared" si="5"/>
        <v>57.793633333333325</v>
      </c>
    </row>
    <row r="58" spans="1:14" x14ac:dyDescent="0.35">
      <c r="A58" s="7" t="s">
        <v>49</v>
      </c>
      <c r="B58" s="8" t="s">
        <v>193</v>
      </c>
      <c r="C58" s="10">
        <v>17.21</v>
      </c>
      <c r="D58" s="10"/>
      <c r="E58" s="10">
        <v>19.059999999999999</v>
      </c>
      <c r="F58" s="10"/>
      <c r="G58" s="3" t="s">
        <v>248</v>
      </c>
      <c r="H58" s="9" t="s">
        <v>249</v>
      </c>
      <c r="I58" s="3"/>
      <c r="J58" s="3"/>
      <c r="K58" s="3"/>
      <c r="L58" s="10">
        <f t="shared" si="4"/>
        <v>86.05</v>
      </c>
      <c r="M58" s="10">
        <f t="shared" si="6"/>
        <v>63.533333333333331</v>
      </c>
      <c r="N58" s="10">
        <f t="shared" si="5"/>
        <v>63.533333333333331</v>
      </c>
    </row>
    <row r="59" spans="1:14" x14ac:dyDescent="0.35">
      <c r="A59" s="7" t="s">
        <v>50</v>
      </c>
      <c r="B59" s="8" t="s">
        <v>178</v>
      </c>
      <c r="C59" s="10">
        <f>(22.41*8+26.55*4)/12</f>
        <v>23.790000000000003</v>
      </c>
      <c r="D59" s="10"/>
      <c r="E59" s="10"/>
      <c r="F59" s="10"/>
      <c r="G59" s="3" t="s">
        <v>361</v>
      </c>
      <c r="H59" s="9" t="s">
        <v>239</v>
      </c>
      <c r="I59" s="3"/>
      <c r="J59" s="3"/>
      <c r="K59" s="3"/>
      <c r="L59" s="10">
        <f t="shared" si="4"/>
        <v>118.95000000000002</v>
      </c>
      <c r="M59" s="3" t="str">
        <f t="shared" si="6"/>
        <v/>
      </c>
      <c r="N59" s="10">
        <f t="shared" si="5"/>
        <v>55.510000000000005</v>
      </c>
    </row>
    <row r="60" spans="1:14" x14ac:dyDescent="0.35">
      <c r="A60" s="7" t="s">
        <v>51</v>
      </c>
      <c r="B60" s="8" t="s">
        <v>3</v>
      </c>
      <c r="C60" s="10">
        <v>22.24</v>
      </c>
      <c r="D60" s="10"/>
      <c r="E60" s="10"/>
      <c r="F60" s="10"/>
      <c r="G60" s="3" t="s">
        <v>154</v>
      </c>
      <c r="H60" s="9" t="s">
        <v>153</v>
      </c>
      <c r="I60" s="3"/>
      <c r="J60" s="3"/>
      <c r="K60" s="3"/>
      <c r="L60" s="10">
        <f t="shared" si="4"/>
        <v>111.2</v>
      </c>
      <c r="M60" s="3" t="str">
        <f t="shared" si="6"/>
        <v/>
      </c>
      <c r="N60" s="10">
        <f t="shared" si="5"/>
        <v>51.893333333333324</v>
      </c>
    </row>
    <row r="61" spans="1:14" x14ac:dyDescent="0.35">
      <c r="A61" s="7" t="s">
        <v>52</v>
      </c>
      <c r="B61" s="8" t="s">
        <v>193</v>
      </c>
      <c r="C61" s="10">
        <v>17.21</v>
      </c>
      <c r="D61" s="10"/>
      <c r="E61" s="10">
        <v>19.059999999999999</v>
      </c>
      <c r="F61" s="10"/>
      <c r="G61" s="3" t="s">
        <v>248</v>
      </c>
      <c r="H61" s="9" t="s">
        <v>249</v>
      </c>
      <c r="I61" s="3"/>
      <c r="J61" s="3"/>
      <c r="K61" s="3"/>
      <c r="L61" s="10">
        <f t="shared" si="4"/>
        <v>86.05</v>
      </c>
      <c r="M61" s="10">
        <f t="shared" si="6"/>
        <v>63.533333333333331</v>
      </c>
      <c r="N61" s="10">
        <f t="shared" si="5"/>
        <v>63.533333333333331</v>
      </c>
    </row>
    <row r="62" spans="1:14" x14ac:dyDescent="0.35">
      <c r="A62" s="7" t="s">
        <v>53</v>
      </c>
      <c r="B62" s="8" t="s">
        <v>183</v>
      </c>
      <c r="C62" s="10">
        <v>15.73</v>
      </c>
      <c r="D62" s="10"/>
      <c r="E62" s="10"/>
      <c r="F62" s="10"/>
      <c r="G62" s="3" t="s">
        <v>359</v>
      </c>
      <c r="H62" s="9" t="s">
        <v>237</v>
      </c>
      <c r="I62" s="3"/>
      <c r="J62" s="3"/>
      <c r="K62" s="3"/>
      <c r="L62" s="10">
        <f t="shared" si="4"/>
        <v>78.650000000000006</v>
      </c>
      <c r="M62" s="3" t="str">
        <f t="shared" si="6"/>
        <v/>
      </c>
      <c r="N62" s="10">
        <f t="shared" si="5"/>
        <v>36.703333333333333</v>
      </c>
    </row>
    <row r="63" spans="1:14" x14ac:dyDescent="0.35">
      <c r="A63" s="7" t="s">
        <v>54</v>
      </c>
      <c r="B63" s="8" t="s">
        <v>194</v>
      </c>
      <c r="C63" s="10">
        <f>20.47*P10</f>
        <v>24.768699999999999</v>
      </c>
      <c r="D63" s="10"/>
      <c r="E63" s="10"/>
      <c r="F63" s="10"/>
      <c r="G63" s="3" t="s">
        <v>150</v>
      </c>
      <c r="H63" s="9" t="s">
        <v>152</v>
      </c>
      <c r="I63" s="3"/>
      <c r="J63" s="9"/>
      <c r="K63" s="9"/>
      <c r="L63" s="10">
        <f t="shared" si="4"/>
        <v>123.84350000000001</v>
      </c>
      <c r="M63" s="3"/>
      <c r="N63" s="10">
        <f t="shared" si="5"/>
        <v>57.793633333333325</v>
      </c>
    </row>
    <row r="64" spans="1:14" x14ac:dyDescent="0.35">
      <c r="A64" s="7" t="s">
        <v>55</v>
      </c>
      <c r="B64" s="8" t="s">
        <v>164</v>
      </c>
      <c r="C64" s="10">
        <v>15.96</v>
      </c>
      <c r="D64" s="10"/>
      <c r="E64" s="10"/>
      <c r="F64" s="10"/>
      <c r="G64" s="3" t="s">
        <v>205</v>
      </c>
      <c r="H64" s="3"/>
      <c r="I64" s="11" t="s">
        <v>243</v>
      </c>
      <c r="J64" s="9" t="s">
        <v>244</v>
      </c>
      <c r="K64" s="9"/>
      <c r="L64" s="10">
        <f t="shared" si="4"/>
        <v>79.8</v>
      </c>
      <c r="M64" s="3" t="str">
        <f>IF(E64="","",E64*(0.9*1000/$P$5+0.1*1000/$P$6))</f>
        <v/>
      </c>
      <c r="N64" s="10">
        <f t="shared" si="5"/>
        <v>37.24</v>
      </c>
    </row>
    <row r="65" spans="1:14" x14ac:dyDescent="0.35">
      <c r="A65" s="7" t="s">
        <v>56</v>
      </c>
      <c r="B65" s="8" t="s">
        <v>179</v>
      </c>
      <c r="C65" s="10"/>
      <c r="D65" s="10">
        <f>134.8*P10</f>
        <v>163.108</v>
      </c>
      <c r="E65" s="10"/>
      <c r="F65" s="10"/>
      <c r="G65" s="3" t="s">
        <v>369</v>
      </c>
      <c r="H65" s="9" t="s">
        <v>262</v>
      </c>
      <c r="I65" s="3"/>
      <c r="J65" s="3"/>
      <c r="K65" s="3"/>
      <c r="L65" s="10">
        <f>D65</f>
        <v>163.108</v>
      </c>
      <c r="M65" s="3" t="str">
        <f>IF(E65="","",E65*(0.9*1000/$P$5+0.1*1000/$P$6))</f>
        <v/>
      </c>
      <c r="N65" s="10">
        <f>L65*0.7</f>
        <v>114.17559999999999</v>
      </c>
    </row>
    <row r="66" spans="1:14" x14ac:dyDescent="0.35">
      <c r="A66" s="7" t="s">
        <v>57</v>
      </c>
      <c r="B66" s="8" t="s">
        <v>190</v>
      </c>
      <c r="C66" s="10">
        <f>19.69*P10</f>
        <v>23.8249</v>
      </c>
      <c r="D66" s="10"/>
      <c r="E66" s="10"/>
      <c r="F66" s="10"/>
      <c r="G66" s="3" t="s">
        <v>150</v>
      </c>
      <c r="H66" s="9" t="s">
        <v>148</v>
      </c>
      <c r="I66" s="3"/>
      <c r="J66" s="9"/>
      <c r="K66" s="9"/>
      <c r="L66" s="10">
        <f t="shared" ref="L66:L97" si="7">C66*1000/$P$4</f>
        <v>119.12449999999998</v>
      </c>
      <c r="M66" s="3"/>
      <c r="N66" s="10">
        <f t="shared" ref="N66:N97" si="8">IF(M66="",C66*($P$7*1000/$P$5+$P$8*1000/$P$6)*$P$9,M66)</f>
        <v>55.591433333333335</v>
      </c>
    </row>
    <row r="67" spans="1:14" x14ac:dyDescent="0.35">
      <c r="A67" s="7" t="s">
        <v>58</v>
      </c>
      <c r="B67" s="8" t="s">
        <v>3</v>
      </c>
      <c r="C67" s="10">
        <v>22.24</v>
      </c>
      <c r="D67" s="10"/>
      <c r="E67" s="10"/>
      <c r="F67" s="10"/>
      <c r="G67" s="3" t="s">
        <v>154</v>
      </c>
      <c r="H67" s="9" t="s">
        <v>153</v>
      </c>
      <c r="I67" s="3"/>
      <c r="J67" s="3"/>
      <c r="K67" s="3"/>
      <c r="L67" s="10">
        <f t="shared" si="7"/>
        <v>111.2</v>
      </c>
      <c r="M67" s="3" t="str">
        <f t="shared" ref="M67:M72" si="9">IF(E67="","",E67*(0.9*1000/$P$5+0.1*1000/$P$6))</f>
        <v/>
      </c>
      <c r="N67" s="10">
        <f t="shared" si="8"/>
        <v>51.893333333333324</v>
      </c>
    </row>
    <row r="68" spans="1:14" x14ac:dyDescent="0.35">
      <c r="A68" s="7" t="s">
        <v>59</v>
      </c>
      <c r="B68" s="8" t="s">
        <v>180</v>
      </c>
      <c r="C68" s="10">
        <v>17.350000000000001</v>
      </c>
      <c r="D68" s="10"/>
      <c r="E68" s="10"/>
      <c r="F68" s="10"/>
      <c r="G68" s="3" t="s">
        <v>370</v>
      </c>
      <c r="H68" s="9" t="s">
        <v>235</v>
      </c>
      <c r="I68" s="3"/>
      <c r="J68" s="3"/>
      <c r="K68" s="3"/>
      <c r="L68" s="10">
        <f t="shared" si="7"/>
        <v>86.75</v>
      </c>
      <c r="M68" s="3" t="str">
        <f t="shared" si="9"/>
        <v/>
      </c>
      <c r="N68" s="10">
        <f t="shared" si="8"/>
        <v>40.483333333333334</v>
      </c>
    </row>
    <row r="69" spans="1:14" x14ac:dyDescent="0.35">
      <c r="A69" s="7" t="s">
        <v>346</v>
      </c>
      <c r="B69" s="8" t="s">
        <v>186</v>
      </c>
      <c r="C69" s="10">
        <v>21.61</v>
      </c>
      <c r="D69" s="10"/>
      <c r="E69" s="10"/>
      <c r="F69" s="10"/>
      <c r="G69" s="3" t="s">
        <v>139</v>
      </c>
      <c r="H69" s="9" t="s">
        <v>209</v>
      </c>
      <c r="I69" s="3"/>
      <c r="J69" s="3"/>
      <c r="K69" s="3"/>
      <c r="L69" s="10">
        <f t="shared" si="7"/>
        <v>108.05</v>
      </c>
      <c r="M69" s="3" t="str">
        <f t="shared" si="9"/>
        <v/>
      </c>
      <c r="N69" s="10">
        <f t="shared" si="8"/>
        <v>50.423333333333332</v>
      </c>
    </row>
    <row r="70" spans="1:14" x14ac:dyDescent="0.35">
      <c r="A70" s="7" t="s">
        <v>347</v>
      </c>
      <c r="B70" s="8" t="s">
        <v>186</v>
      </c>
      <c r="C70" s="10">
        <f>12.26*P10</f>
        <v>14.8346</v>
      </c>
      <c r="D70" s="10"/>
      <c r="E70" s="10"/>
      <c r="F70" s="10"/>
      <c r="G70" s="3" t="s">
        <v>360</v>
      </c>
      <c r="H70" s="9" t="s">
        <v>241</v>
      </c>
      <c r="I70" s="3"/>
      <c r="J70" s="3"/>
      <c r="K70" s="3"/>
      <c r="L70" s="10">
        <f t="shared" si="7"/>
        <v>74.173000000000002</v>
      </c>
      <c r="M70" s="3" t="str">
        <f t="shared" si="9"/>
        <v/>
      </c>
      <c r="N70" s="10">
        <f t="shared" si="8"/>
        <v>34.614066666666666</v>
      </c>
    </row>
    <row r="71" spans="1:14" x14ac:dyDescent="0.35">
      <c r="A71" s="7" t="s">
        <v>61</v>
      </c>
      <c r="B71" s="8" t="s">
        <v>181</v>
      </c>
      <c r="C71" s="10">
        <v>15.33</v>
      </c>
      <c r="D71" s="10"/>
      <c r="E71" s="10"/>
      <c r="F71" s="10"/>
      <c r="G71" s="3" t="s">
        <v>139</v>
      </c>
      <c r="H71" s="9" t="s">
        <v>209</v>
      </c>
      <c r="I71" s="3"/>
      <c r="J71" s="3"/>
      <c r="K71" s="3"/>
      <c r="L71" s="10">
        <f t="shared" si="7"/>
        <v>76.650000000000006</v>
      </c>
      <c r="M71" s="3" t="str">
        <f t="shared" si="9"/>
        <v/>
      </c>
      <c r="N71" s="10">
        <f t="shared" si="8"/>
        <v>35.769999999999996</v>
      </c>
    </row>
    <row r="72" spans="1:14" x14ac:dyDescent="0.35">
      <c r="A72" s="7" t="s">
        <v>62</v>
      </c>
      <c r="B72" s="8" t="s">
        <v>186</v>
      </c>
      <c r="C72" s="38">
        <v>20.78</v>
      </c>
      <c r="D72" s="10"/>
      <c r="E72" s="10"/>
      <c r="F72" s="10"/>
      <c r="G72" s="3" t="s">
        <v>360</v>
      </c>
      <c r="H72" s="3"/>
      <c r="I72" s="3"/>
      <c r="J72" s="3"/>
      <c r="K72" s="3"/>
      <c r="L72" s="10">
        <f t="shared" si="7"/>
        <v>103.9</v>
      </c>
      <c r="M72" s="3" t="str">
        <f t="shared" si="9"/>
        <v/>
      </c>
      <c r="N72" s="10">
        <f t="shared" si="8"/>
        <v>48.486666666666672</v>
      </c>
    </row>
    <row r="73" spans="1:14" x14ac:dyDescent="0.35">
      <c r="A73" s="7" t="s">
        <v>63</v>
      </c>
      <c r="B73" s="8" t="s">
        <v>182</v>
      </c>
      <c r="C73" s="10">
        <f>20.16*P10</f>
        <v>24.393599999999999</v>
      </c>
      <c r="D73" s="10"/>
      <c r="E73" s="10"/>
      <c r="F73" s="10"/>
      <c r="G73" s="3" t="s">
        <v>150</v>
      </c>
      <c r="H73" s="9" t="s">
        <v>152</v>
      </c>
      <c r="I73" s="3"/>
      <c r="J73" s="9"/>
      <c r="K73" s="9"/>
      <c r="L73" s="10">
        <f t="shared" si="7"/>
        <v>121.96799999999999</v>
      </c>
      <c r="M73" s="3"/>
      <c r="N73" s="10">
        <f t="shared" si="8"/>
        <v>56.918399999999991</v>
      </c>
    </row>
    <row r="74" spans="1:14" x14ac:dyDescent="0.35">
      <c r="A74" s="7" t="s">
        <v>64</v>
      </c>
      <c r="B74" s="8" t="s">
        <v>174</v>
      </c>
      <c r="C74" s="10">
        <f>20.47*P10</f>
        <v>24.768699999999999</v>
      </c>
      <c r="D74" s="10"/>
      <c r="E74" s="10"/>
      <c r="F74" s="10"/>
      <c r="G74" s="3" t="s">
        <v>150</v>
      </c>
      <c r="H74" s="9" t="s">
        <v>152</v>
      </c>
      <c r="I74" s="3"/>
      <c r="J74" s="9"/>
      <c r="K74" s="9"/>
      <c r="L74" s="10">
        <f t="shared" si="7"/>
        <v>123.84350000000001</v>
      </c>
      <c r="M74" s="3"/>
      <c r="N74" s="10">
        <f t="shared" si="8"/>
        <v>57.793633333333325</v>
      </c>
    </row>
    <row r="75" spans="1:14" x14ac:dyDescent="0.35">
      <c r="A75" s="7" t="s">
        <v>65</v>
      </c>
      <c r="B75" s="8" t="s">
        <v>198</v>
      </c>
      <c r="C75" s="38">
        <v>23.17</v>
      </c>
      <c r="D75" s="10"/>
      <c r="E75" s="10"/>
      <c r="F75" s="10"/>
      <c r="G75" s="3" t="s">
        <v>362</v>
      </c>
      <c r="H75" s="9" t="s">
        <v>231</v>
      </c>
      <c r="I75" s="3"/>
      <c r="J75" s="3"/>
      <c r="K75" s="3"/>
      <c r="L75" s="10">
        <f t="shared" si="7"/>
        <v>115.85</v>
      </c>
      <c r="M75" s="3" t="str">
        <f>IF(E75="","",E75*(0.9*1000/$P$5+0.1*1000/$P$6))</f>
        <v/>
      </c>
      <c r="N75" s="10">
        <f t="shared" si="8"/>
        <v>54.06333333333334</v>
      </c>
    </row>
    <row r="76" spans="1:14" x14ac:dyDescent="0.35">
      <c r="A76" s="7" t="s">
        <v>66</v>
      </c>
      <c r="B76" s="8" t="s">
        <v>184</v>
      </c>
      <c r="C76" s="10">
        <v>19.829999999999998</v>
      </c>
      <c r="D76" s="10"/>
      <c r="E76" s="10"/>
      <c r="F76" s="10"/>
      <c r="G76" s="18" t="s">
        <v>225</v>
      </c>
      <c r="H76" s="9" t="s">
        <v>260</v>
      </c>
      <c r="I76" s="3"/>
      <c r="J76" s="3"/>
      <c r="K76" s="3"/>
      <c r="L76" s="10">
        <f t="shared" si="7"/>
        <v>99.15</v>
      </c>
      <c r="M76" s="3" t="str">
        <f>IF(E76="","",E76*(0.9*1000/$P$5+0.1*1000/$P$6))</f>
        <v/>
      </c>
      <c r="N76" s="10">
        <f t="shared" si="8"/>
        <v>46.269999999999996</v>
      </c>
    </row>
    <row r="77" spans="1:14" x14ac:dyDescent="0.35">
      <c r="A77" s="7" t="s">
        <v>67</v>
      </c>
      <c r="B77" s="8" t="s">
        <v>183</v>
      </c>
      <c r="C77" s="10">
        <v>18.14</v>
      </c>
      <c r="D77" s="10"/>
      <c r="E77" s="10"/>
      <c r="F77" s="10"/>
      <c r="G77" s="3" t="s">
        <v>363</v>
      </c>
      <c r="H77" s="9" t="s">
        <v>236</v>
      </c>
      <c r="I77" s="3"/>
      <c r="J77" s="3"/>
      <c r="K77" s="3"/>
      <c r="L77" s="10">
        <f t="shared" si="7"/>
        <v>90.7</v>
      </c>
      <c r="M77" s="3" t="str">
        <f>IF(E77="","",E77*(0.9*1000/$P$5+0.1*1000/$P$6))</f>
        <v/>
      </c>
      <c r="N77" s="10">
        <f t="shared" si="8"/>
        <v>42.326666666666668</v>
      </c>
    </row>
    <row r="78" spans="1:14" x14ac:dyDescent="0.35">
      <c r="A78" s="7" t="s">
        <v>348</v>
      </c>
      <c r="B78" s="8" t="s">
        <v>184</v>
      </c>
      <c r="C78" s="10">
        <f>9.68*P10+77.87/9.09*P10</f>
        <v>22.078333553355336</v>
      </c>
      <c r="D78" s="10"/>
      <c r="E78" s="10"/>
      <c r="F78" s="10">
        <v>10.33</v>
      </c>
      <c r="G78" s="3" t="s">
        <v>371</v>
      </c>
      <c r="H78" s="9" t="s">
        <v>259</v>
      </c>
      <c r="I78" s="3"/>
      <c r="J78" s="3"/>
      <c r="K78" s="3"/>
      <c r="L78" s="10">
        <f t="shared" si="7"/>
        <v>110.39166776677668</v>
      </c>
      <c r="M78" s="10">
        <f>F78</f>
        <v>10.33</v>
      </c>
      <c r="N78" s="10">
        <f t="shared" si="8"/>
        <v>10.33</v>
      </c>
    </row>
    <row r="79" spans="1:14" x14ac:dyDescent="0.35">
      <c r="A79" s="7" t="s">
        <v>349</v>
      </c>
      <c r="B79" s="8" t="s">
        <v>184</v>
      </c>
      <c r="C79" s="10">
        <v>20.93</v>
      </c>
      <c r="D79" s="10"/>
      <c r="E79" s="10"/>
      <c r="F79" s="10"/>
      <c r="G79" s="3" t="s">
        <v>372</v>
      </c>
      <c r="H79" s="9" t="s">
        <v>258</v>
      </c>
      <c r="I79" s="3"/>
      <c r="J79" s="3"/>
      <c r="K79" s="3"/>
      <c r="L79" s="10">
        <f t="shared" si="7"/>
        <v>104.65</v>
      </c>
      <c r="M79" s="3" t="str">
        <f>IF(E79="","",E79*(0.9*1000/$P$5+0.1*1000/$P$6))</f>
        <v/>
      </c>
      <c r="N79" s="10">
        <f t="shared" si="8"/>
        <v>48.836666666666666</v>
      </c>
    </row>
    <row r="80" spans="1:14" x14ac:dyDescent="0.35">
      <c r="A80" s="7" t="s">
        <v>69</v>
      </c>
      <c r="B80" s="8" t="s">
        <v>194</v>
      </c>
      <c r="C80" s="10">
        <f>20.47*P10</f>
        <v>24.768699999999999</v>
      </c>
      <c r="D80" s="10"/>
      <c r="E80" s="10"/>
      <c r="F80" s="10"/>
      <c r="G80" s="3" t="s">
        <v>150</v>
      </c>
      <c r="H80" s="9" t="s">
        <v>152</v>
      </c>
      <c r="I80" s="3"/>
      <c r="J80" s="9"/>
      <c r="K80" s="9"/>
      <c r="L80" s="10">
        <f t="shared" si="7"/>
        <v>123.84350000000001</v>
      </c>
      <c r="M80" s="3"/>
      <c r="N80" s="10">
        <f t="shared" si="8"/>
        <v>57.793633333333325</v>
      </c>
    </row>
    <row r="81" spans="1:14" x14ac:dyDescent="0.35">
      <c r="A81" s="7" t="s">
        <v>70</v>
      </c>
      <c r="B81" s="8" t="s">
        <v>190</v>
      </c>
      <c r="C81" s="10">
        <v>20.51</v>
      </c>
      <c r="D81" s="10"/>
      <c r="E81" s="10">
        <v>19.010000000000002</v>
      </c>
      <c r="F81" s="10"/>
      <c r="G81" s="3" t="s">
        <v>151</v>
      </c>
      <c r="H81" s="9" t="s">
        <v>146</v>
      </c>
      <c r="I81" s="3"/>
      <c r="J81" s="9"/>
      <c r="K81" s="9"/>
      <c r="L81" s="10">
        <f t="shared" si="7"/>
        <v>102.55</v>
      </c>
      <c r="M81" s="10">
        <f>IF(E81="","",E81*(0.9*1000/$P$5+0.1*1000/$P$6))</f>
        <v>63.366666666666674</v>
      </c>
      <c r="N81" s="10">
        <f t="shared" si="8"/>
        <v>63.366666666666674</v>
      </c>
    </row>
    <row r="82" spans="1:14" x14ac:dyDescent="0.35">
      <c r="A82" s="7" t="s">
        <v>71</v>
      </c>
      <c r="B82" s="8" t="s">
        <v>185</v>
      </c>
      <c r="C82" s="10">
        <v>12.69</v>
      </c>
      <c r="D82" s="10"/>
      <c r="E82" s="10"/>
      <c r="F82" s="10"/>
      <c r="G82" s="3" t="s">
        <v>210</v>
      </c>
      <c r="H82" s="9" t="s">
        <v>211</v>
      </c>
      <c r="I82" s="3"/>
      <c r="J82" s="3"/>
      <c r="K82" s="3"/>
      <c r="L82" s="10">
        <f t="shared" si="7"/>
        <v>63.45</v>
      </c>
      <c r="M82" s="3" t="str">
        <f>IF(E82="","",E82*(0.9*1000/$P$5+0.1*1000/$P$6))</f>
        <v/>
      </c>
      <c r="N82" s="10">
        <f t="shared" si="8"/>
        <v>29.609999999999996</v>
      </c>
    </row>
    <row r="83" spans="1:14" x14ac:dyDescent="0.35">
      <c r="A83" s="7" t="s">
        <v>72</v>
      </c>
      <c r="B83" s="8" t="s">
        <v>192</v>
      </c>
      <c r="C83" s="10">
        <v>17.21</v>
      </c>
      <c r="D83" s="10"/>
      <c r="E83" s="10">
        <v>19.059999999999999</v>
      </c>
      <c r="F83" s="10"/>
      <c r="G83" s="3" t="s">
        <v>248</v>
      </c>
      <c r="H83" s="9" t="s">
        <v>249</v>
      </c>
      <c r="I83" s="3"/>
      <c r="J83" s="3"/>
      <c r="K83" s="3"/>
      <c r="L83" s="10">
        <f t="shared" si="7"/>
        <v>86.05</v>
      </c>
      <c r="M83" s="10">
        <f>IF(E83="","",E83*(0.9*1000/$P$5+0.1*1000/$P$6))</f>
        <v>63.533333333333331</v>
      </c>
      <c r="N83" s="10">
        <f t="shared" si="8"/>
        <v>63.533333333333331</v>
      </c>
    </row>
    <row r="84" spans="1:14" x14ac:dyDescent="0.35">
      <c r="A84" s="7" t="s">
        <v>73</v>
      </c>
      <c r="B84" s="8" t="s">
        <v>194</v>
      </c>
      <c r="C84" s="10">
        <f>20.47*P10</f>
        <v>24.768699999999999</v>
      </c>
      <c r="D84" s="10"/>
      <c r="E84" s="10"/>
      <c r="F84" s="10"/>
      <c r="G84" s="3" t="s">
        <v>150</v>
      </c>
      <c r="H84" s="9" t="s">
        <v>152</v>
      </c>
      <c r="I84" s="3"/>
      <c r="J84" s="9"/>
      <c r="K84" s="9"/>
      <c r="L84" s="10">
        <f t="shared" si="7"/>
        <v>123.84350000000001</v>
      </c>
      <c r="M84" s="3"/>
      <c r="N84" s="10">
        <f t="shared" si="8"/>
        <v>57.793633333333325</v>
      </c>
    </row>
    <row r="85" spans="1:14" x14ac:dyDescent="0.35">
      <c r="A85" s="7" t="s">
        <v>74</v>
      </c>
      <c r="B85" s="8" t="s">
        <v>164</v>
      </c>
      <c r="C85" s="10">
        <v>20.99</v>
      </c>
      <c r="D85" s="10"/>
      <c r="E85" s="10"/>
      <c r="F85" s="10"/>
      <c r="G85" s="3" t="s">
        <v>154</v>
      </c>
      <c r="H85" s="9" t="s">
        <v>153</v>
      </c>
      <c r="I85" s="3"/>
      <c r="J85" s="3"/>
      <c r="K85" s="3"/>
      <c r="L85" s="10">
        <f t="shared" si="7"/>
        <v>104.95</v>
      </c>
      <c r="M85" s="3" t="str">
        <f t="shared" ref="M85:M95" si="10">IF(E85="","",E85*(0.9*1000/$P$5+0.1*1000/$P$6))</f>
        <v/>
      </c>
      <c r="N85" s="10">
        <f t="shared" si="8"/>
        <v>48.976666666666667</v>
      </c>
    </row>
    <row r="86" spans="1:14" x14ac:dyDescent="0.35">
      <c r="A86" s="7" t="s">
        <v>75</v>
      </c>
      <c r="B86" s="8" t="s">
        <v>176</v>
      </c>
      <c r="C86" s="10">
        <v>20.420000000000002</v>
      </c>
      <c r="D86" s="10"/>
      <c r="E86" s="10"/>
      <c r="F86" s="10"/>
      <c r="G86" s="3" t="s">
        <v>139</v>
      </c>
      <c r="H86" s="9" t="s">
        <v>209</v>
      </c>
      <c r="I86" s="3"/>
      <c r="J86" s="3"/>
      <c r="K86" s="3"/>
      <c r="L86" s="10">
        <f t="shared" si="7"/>
        <v>102.1</v>
      </c>
      <c r="M86" s="3" t="str">
        <f t="shared" si="10"/>
        <v/>
      </c>
      <c r="N86" s="10">
        <f t="shared" si="8"/>
        <v>47.646666666666668</v>
      </c>
    </row>
    <row r="87" spans="1:14" x14ac:dyDescent="0.35">
      <c r="A87" s="7" t="s">
        <v>350</v>
      </c>
      <c r="B87" s="8" t="s">
        <v>186</v>
      </c>
      <c r="C87" s="38">
        <v>11.62</v>
      </c>
      <c r="D87" s="10"/>
      <c r="E87" s="10"/>
      <c r="F87" s="10"/>
      <c r="G87" s="3" t="s">
        <v>360</v>
      </c>
      <c r="H87" s="3"/>
      <c r="I87" s="3"/>
      <c r="J87" s="3"/>
      <c r="K87" s="3"/>
      <c r="L87" s="10">
        <f t="shared" si="7"/>
        <v>58.1</v>
      </c>
      <c r="M87" s="3" t="str">
        <f t="shared" si="10"/>
        <v/>
      </c>
      <c r="N87" s="10">
        <f t="shared" si="8"/>
        <v>27.113333333333333</v>
      </c>
    </row>
    <row r="88" spans="1:14" x14ac:dyDescent="0.35">
      <c r="A88" s="7" t="s">
        <v>351</v>
      </c>
      <c r="B88" s="8" t="s">
        <v>186</v>
      </c>
      <c r="C88" s="38">
        <v>11.62</v>
      </c>
      <c r="D88" s="10"/>
      <c r="E88" s="10"/>
      <c r="F88" s="10"/>
      <c r="G88" s="3" t="s">
        <v>205</v>
      </c>
      <c r="H88" s="3"/>
      <c r="I88" s="11" t="s">
        <v>243</v>
      </c>
      <c r="J88" s="9" t="s">
        <v>244</v>
      </c>
      <c r="K88" s="9"/>
      <c r="L88" s="10">
        <f t="shared" si="7"/>
        <v>58.1</v>
      </c>
      <c r="M88" s="3" t="str">
        <f t="shared" si="10"/>
        <v/>
      </c>
      <c r="N88" s="10">
        <f t="shared" si="8"/>
        <v>27.113333333333333</v>
      </c>
    </row>
    <row r="89" spans="1:14" x14ac:dyDescent="0.35">
      <c r="A89" s="7" t="s">
        <v>77</v>
      </c>
      <c r="B89" s="8" t="s">
        <v>195</v>
      </c>
      <c r="C89" s="10">
        <f>14.85*P10</f>
        <v>17.968499999999999</v>
      </c>
      <c r="D89" s="10"/>
      <c r="E89" s="10"/>
      <c r="F89" s="10"/>
      <c r="G89" s="3" t="s">
        <v>263</v>
      </c>
      <c r="H89" s="9" t="s">
        <v>264</v>
      </c>
      <c r="I89" s="3"/>
      <c r="J89" s="3"/>
      <c r="K89" s="3"/>
      <c r="L89" s="10">
        <f t="shared" si="7"/>
        <v>89.842500000000001</v>
      </c>
      <c r="M89" s="3" t="str">
        <f t="shared" si="10"/>
        <v/>
      </c>
      <c r="N89" s="10">
        <f t="shared" si="8"/>
        <v>41.926499999999997</v>
      </c>
    </row>
    <row r="90" spans="1:14" x14ac:dyDescent="0.35">
      <c r="A90" s="7" t="s">
        <v>78</v>
      </c>
      <c r="B90" s="8" t="s">
        <v>178</v>
      </c>
      <c r="C90" s="10">
        <v>20.100000000000001</v>
      </c>
      <c r="D90" s="10"/>
      <c r="E90" s="10"/>
      <c r="F90" s="10"/>
      <c r="G90" s="3" t="s">
        <v>139</v>
      </c>
      <c r="H90" s="9" t="s">
        <v>209</v>
      </c>
      <c r="I90" s="3"/>
      <c r="J90" s="3"/>
      <c r="K90" s="3"/>
      <c r="L90" s="10">
        <f t="shared" si="7"/>
        <v>100.5</v>
      </c>
      <c r="M90" s="3" t="str">
        <f t="shared" si="10"/>
        <v/>
      </c>
      <c r="N90" s="10">
        <f t="shared" si="8"/>
        <v>46.900000000000006</v>
      </c>
    </row>
    <row r="91" spans="1:14" x14ac:dyDescent="0.35">
      <c r="A91" s="7" t="s">
        <v>79</v>
      </c>
      <c r="B91" s="8" t="s">
        <v>174</v>
      </c>
      <c r="C91" s="10">
        <f>19.69*P10</f>
        <v>23.8249</v>
      </c>
      <c r="D91" s="10"/>
      <c r="E91" s="10"/>
      <c r="F91" s="10"/>
      <c r="G91" s="3" t="s">
        <v>150</v>
      </c>
      <c r="H91" s="9" t="s">
        <v>261</v>
      </c>
      <c r="I91" s="3"/>
      <c r="J91" s="3"/>
      <c r="K91" s="3"/>
      <c r="L91" s="10">
        <f t="shared" si="7"/>
        <v>119.12449999999998</v>
      </c>
      <c r="M91" s="3" t="str">
        <f t="shared" si="10"/>
        <v/>
      </c>
      <c r="N91" s="10">
        <f t="shared" si="8"/>
        <v>55.591433333333335</v>
      </c>
    </row>
    <row r="92" spans="1:14" x14ac:dyDescent="0.35">
      <c r="A92" s="7" t="s">
        <v>80</v>
      </c>
      <c r="B92" s="8" t="s">
        <v>176</v>
      </c>
      <c r="C92" s="10">
        <v>18.59</v>
      </c>
      <c r="D92" s="10"/>
      <c r="E92" s="10"/>
      <c r="F92" s="10"/>
      <c r="G92" s="3" t="s">
        <v>215</v>
      </c>
      <c r="H92" s="9" t="s">
        <v>221</v>
      </c>
      <c r="I92" s="3"/>
      <c r="J92" s="3"/>
      <c r="K92" s="3"/>
      <c r="L92" s="10">
        <f t="shared" si="7"/>
        <v>92.95</v>
      </c>
      <c r="M92" s="3" t="str">
        <f t="shared" si="10"/>
        <v/>
      </c>
      <c r="N92" s="10">
        <f t="shared" si="8"/>
        <v>43.376666666666665</v>
      </c>
    </row>
    <row r="93" spans="1:14" x14ac:dyDescent="0.35">
      <c r="A93" s="7" t="s">
        <v>81</v>
      </c>
      <c r="B93" s="8" t="s">
        <v>164</v>
      </c>
      <c r="C93" s="10">
        <v>21.11</v>
      </c>
      <c r="D93" s="10"/>
      <c r="E93" s="10"/>
      <c r="F93" s="10"/>
      <c r="G93" s="3" t="s">
        <v>207</v>
      </c>
      <c r="H93" s="9" t="s">
        <v>208</v>
      </c>
      <c r="I93" s="3"/>
      <c r="J93" s="3"/>
      <c r="K93" s="3"/>
      <c r="L93" s="10">
        <f t="shared" si="7"/>
        <v>105.55</v>
      </c>
      <c r="M93" s="3" t="str">
        <f t="shared" si="10"/>
        <v/>
      </c>
      <c r="N93" s="10">
        <f t="shared" si="8"/>
        <v>49.256666666666668</v>
      </c>
    </row>
    <row r="94" spans="1:14" x14ac:dyDescent="0.35">
      <c r="A94" s="7" t="s">
        <v>82</v>
      </c>
      <c r="B94" s="8" t="s">
        <v>163</v>
      </c>
      <c r="C94" s="10">
        <v>19.09</v>
      </c>
      <c r="D94" s="10"/>
      <c r="E94" s="10"/>
      <c r="F94" s="10"/>
      <c r="G94" s="3" t="s">
        <v>373</v>
      </c>
      <c r="H94" s="9" t="s">
        <v>265</v>
      </c>
      <c r="I94" s="3"/>
      <c r="J94" s="3"/>
      <c r="K94" s="3"/>
      <c r="L94" s="10">
        <f t="shared" si="7"/>
        <v>95.45</v>
      </c>
      <c r="M94" s="3" t="str">
        <f t="shared" si="10"/>
        <v/>
      </c>
      <c r="N94" s="10">
        <f t="shared" si="8"/>
        <v>44.543333333333329</v>
      </c>
    </row>
    <row r="95" spans="1:14" x14ac:dyDescent="0.35">
      <c r="A95" s="7" t="s">
        <v>83</v>
      </c>
      <c r="B95" s="8" t="s">
        <v>176</v>
      </c>
      <c r="C95" s="10">
        <v>17.05</v>
      </c>
      <c r="D95" s="10"/>
      <c r="E95" s="10"/>
      <c r="F95" s="10"/>
      <c r="G95" s="3" t="s">
        <v>216</v>
      </c>
      <c r="H95" s="9" t="s">
        <v>217</v>
      </c>
      <c r="I95" s="3"/>
      <c r="J95" s="3"/>
      <c r="K95" s="3"/>
      <c r="L95" s="10">
        <f t="shared" si="7"/>
        <v>85.25</v>
      </c>
      <c r="M95" s="3" t="str">
        <f t="shared" si="10"/>
        <v/>
      </c>
      <c r="N95" s="10">
        <f t="shared" si="8"/>
        <v>39.783333333333331</v>
      </c>
    </row>
    <row r="96" spans="1:14" x14ac:dyDescent="0.35">
      <c r="A96" s="7" t="s">
        <v>84</v>
      </c>
      <c r="B96" s="8" t="s">
        <v>174</v>
      </c>
      <c r="C96" s="10">
        <f>19.69*P10</f>
        <v>23.8249</v>
      </c>
      <c r="D96" s="10"/>
      <c r="E96" s="10"/>
      <c r="F96" s="10"/>
      <c r="G96" s="3" t="s">
        <v>150</v>
      </c>
      <c r="H96" s="9" t="s">
        <v>152</v>
      </c>
      <c r="I96" s="3"/>
      <c r="J96" s="9"/>
      <c r="K96" s="9"/>
      <c r="L96" s="10">
        <f t="shared" si="7"/>
        <v>119.12449999999998</v>
      </c>
      <c r="M96" s="3"/>
      <c r="N96" s="10">
        <f t="shared" si="8"/>
        <v>55.591433333333335</v>
      </c>
    </row>
    <row r="97" spans="1:14" x14ac:dyDescent="0.35">
      <c r="A97" s="7" t="s">
        <v>85</v>
      </c>
      <c r="B97" s="8" t="s">
        <v>191</v>
      </c>
      <c r="C97" s="10">
        <f>20.47*P10</f>
        <v>24.768699999999999</v>
      </c>
      <c r="D97" s="10"/>
      <c r="E97" s="10"/>
      <c r="F97" s="10"/>
      <c r="G97" s="3" t="s">
        <v>150</v>
      </c>
      <c r="H97" s="9" t="s">
        <v>152</v>
      </c>
      <c r="I97" s="3"/>
      <c r="J97" s="9"/>
      <c r="K97" s="9"/>
      <c r="L97" s="10">
        <f t="shared" si="7"/>
        <v>123.84350000000001</v>
      </c>
      <c r="M97" s="3"/>
      <c r="N97" s="10">
        <f t="shared" si="8"/>
        <v>57.793633333333325</v>
      </c>
    </row>
    <row r="98" spans="1:14" x14ac:dyDescent="0.35">
      <c r="A98" s="7" t="s">
        <v>86</v>
      </c>
      <c r="B98" s="8" t="s">
        <v>187</v>
      </c>
      <c r="C98" s="10">
        <v>15.73</v>
      </c>
      <c r="D98" s="10"/>
      <c r="E98" s="10"/>
      <c r="F98" s="10"/>
      <c r="G98" s="3" t="s">
        <v>359</v>
      </c>
      <c r="H98" s="9" t="s">
        <v>237</v>
      </c>
      <c r="I98" s="3"/>
      <c r="J98" s="3"/>
      <c r="K98" s="3"/>
      <c r="L98" s="10">
        <f t="shared" ref="L98:L129" si="11">C98*1000/$P$4</f>
        <v>78.650000000000006</v>
      </c>
      <c r="M98" s="3" t="str">
        <f>IF(E98="","",E98*(0.9*1000/$P$5+0.1*1000/$P$6))</f>
        <v/>
      </c>
      <c r="N98" s="10">
        <f t="shared" ref="N98:N129" si="12">IF(M98="",C98*($P$7*1000/$P$5+$P$8*1000/$P$6)*$P$9,M98)</f>
        <v>36.703333333333333</v>
      </c>
    </row>
    <row r="99" spans="1:14" x14ac:dyDescent="0.35">
      <c r="A99" s="7" t="s">
        <v>87</v>
      </c>
      <c r="B99" s="8" t="s">
        <v>163</v>
      </c>
      <c r="C99" s="10">
        <f>21.75*P10</f>
        <v>26.317499999999999</v>
      </c>
      <c r="D99" s="10"/>
      <c r="E99" s="10"/>
      <c r="F99" s="10"/>
      <c r="G99" s="3" t="s">
        <v>212</v>
      </c>
      <c r="H99" s="9" t="s">
        <v>213</v>
      </c>
      <c r="I99" s="3"/>
      <c r="J99" s="3"/>
      <c r="K99" s="3"/>
      <c r="L99" s="10">
        <f t="shared" si="11"/>
        <v>131.58750000000001</v>
      </c>
      <c r="M99" s="3" t="str">
        <f>IF(E99="","",E99*(0.9*1000/$P$5+0.1*1000/$P$6))</f>
        <v/>
      </c>
      <c r="N99" s="10">
        <f t="shared" si="12"/>
        <v>61.407499999999992</v>
      </c>
    </row>
    <row r="100" spans="1:14" x14ac:dyDescent="0.35">
      <c r="A100" s="7" t="s">
        <v>88</v>
      </c>
      <c r="B100" s="8" t="s">
        <v>192</v>
      </c>
      <c r="C100" s="10">
        <v>17.21</v>
      </c>
      <c r="D100" s="10"/>
      <c r="E100" s="10">
        <v>19.059999999999999</v>
      </c>
      <c r="F100" s="10"/>
      <c r="G100" s="3" t="s">
        <v>248</v>
      </c>
      <c r="H100" s="9" t="s">
        <v>249</v>
      </c>
      <c r="I100" s="3"/>
      <c r="J100" s="3"/>
      <c r="K100" s="3"/>
      <c r="L100" s="10">
        <f t="shared" si="11"/>
        <v>86.05</v>
      </c>
      <c r="M100" s="10">
        <f>IF(E100="","",E100*(0.9*1000/$P$5+0.1*1000/$P$6))</f>
        <v>63.533333333333331</v>
      </c>
      <c r="N100" s="10">
        <f t="shared" si="12"/>
        <v>63.533333333333331</v>
      </c>
    </row>
    <row r="101" spans="1:14" x14ac:dyDescent="0.35">
      <c r="A101" s="7" t="s">
        <v>89</v>
      </c>
      <c r="B101" s="8" t="s">
        <v>188</v>
      </c>
      <c r="C101" s="10">
        <f>17.57*P10</f>
        <v>21.259699999999999</v>
      </c>
      <c r="D101" s="10"/>
      <c r="E101" s="10"/>
      <c r="F101" s="10">
        <f>40*P10</f>
        <v>48.4</v>
      </c>
      <c r="G101" s="3" t="s">
        <v>364</v>
      </c>
      <c r="H101" s="9" t="s">
        <v>266</v>
      </c>
      <c r="I101" s="3"/>
      <c r="J101" s="3"/>
      <c r="K101" s="3"/>
      <c r="L101" s="10">
        <f t="shared" si="11"/>
        <v>106.29849999999999</v>
      </c>
      <c r="M101" s="10">
        <f>F101</f>
        <v>48.4</v>
      </c>
      <c r="N101" s="10">
        <f t="shared" si="12"/>
        <v>48.4</v>
      </c>
    </row>
    <row r="102" spans="1:14" x14ac:dyDescent="0.35">
      <c r="A102" s="7" t="s">
        <v>90</v>
      </c>
      <c r="B102" s="8" t="s">
        <v>176</v>
      </c>
      <c r="C102" s="10">
        <v>17.05</v>
      </c>
      <c r="D102" s="10"/>
      <c r="E102" s="10"/>
      <c r="F102" s="10"/>
      <c r="G102" s="3" t="s">
        <v>216</v>
      </c>
      <c r="H102" s="9" t="s">
        <v>217</v>
      </c>
      <c r="I102" s="3"/>
      <c r="J102" s="3"/>
      <c r="K102" s="3"/>
      <c r="L102" s="10">
        <f t="shared" si="11"/>
        <v>85.25</v>
      </c>
      <c r="M102" s="3" t="str">
        <f>IF(E102="","",E102*(0.9*1000/$P$5+0.1*1000/$P$6))</f>
        <v/>
      </c>
      <c r="N102" s="10">
        <f t="shared" si="12"/>
        <v>39.783333333333331</v>
      </c>
    </row>
    <row r="103" spans="1:14" x14ac:dyDescent="0.35">
      <c r="A103" s="7" t="s">
        <v>91</v>
      </c>
      <c r="B103" s="8" t="s">
        <v>175</v>
      </c>
      <c r="C103" s="10">
        <f>20.12*P10</f>
        <v>24.345200000000002</v>
      </c>
      <c r="D103" s="10"/>
      <c r="E103" s="10"/>
      <c r="F103" s="10"/>
      <c r="G103" s="3" t="s">
        <v>150</v>
      </c>
      <c r="H103" s="9" t="s">
        <v>261</v>
      </c>
      <c r="I103" s="3"/>
      <c r="J103" s="3"/>
      <c r="K103" s="3"/>
      <c r="L103" s="10">
        <f t="shared" si="11"/>
        <v>121.726</v>
      </c>
      <c r="M103" s="3" t="str">
        <f>IF(E103="","",E103*(0.9*1000/$P$5+0.1*1000/$P$6))</f>
        <v/>
      </c>
      <c r="N103" s="10">
        <f t="shared" si="12"/>
        <v>56.805466666666675</v>
      </c>
    </row>
    <row r="104" spans="1:14" x14ac:dyDescent="0.35">
      <c r="A104" s="7" t="s">
        <v>92</v>
      </c>
      <c r="B104" s="8" t="s">
        <v>173</v>
      </c>
      <c r="C104" s="10">
        <v>22.76</v>
      </c>
      <c r="D104" s="10"/>
      <c r="E104" s="10">
        <v>12.46</v>
      </c>
      <c r="F104" s="10"/>
      <c r="G104" s="3" t="s">
        <v>245</v>
      </c>
      <c r="H104" s="9" t="s">
        <v>246</v>
      </c>
      <c r="I104" s="3"/>
      <c r="J104" s="3"/>
      <c r="K104" s="3"/>
      <c r="L104" s="10">
        <f t="shared" si="11"/>
        <v>113.8</v>
      </c>
      <c r="M104" s="10">
        <f>IF(E104="","",E104*(0.9*1000/$P$5+0.1*1000/$P$6))</f>
        <v>41.533333333333339</v>
      </c>
      <c r="N104" s="10">
        <f t="shared" si="12"/>
        <v>41.533333333333339</v>
      </c>
    </row>
    <row r="105" spans="1:14" x14ac:dyDescent="0.35">
      <c r="A105" s="7" t="s">
        <v>93</v>
      </c>
      <c r="B105" s="8" t="s">
        <v>194</v>
      </c>
      <c r="C105" s="10">
        <f>20.47*P10</f>
        <v>24.768699999999999</v>
      </c>
      <c r="D105" s="10"/>
      <c r="E105" s="10"/>
      <c r="F105" s="10"/>
      <c r="G105" s="3" t="s">
        <v>150</v>
      </c>
      <c r="H105" s="9" t="s">
        <v>152</v>
      </c>
      <c r="I105" s="3"/>
      <c r="J105" s="9"/>
      <c r="K105" s="9"/>
      <c r="L105" s="10">
        <f t="shared" si="11"/>
        <v>123.84350000000001</v>
      </c>
      <c r="M105" s="3"/>
      <c r="N105" s="10">
        <f t="shared" si="12"/>
        <v>57.793633333333325</v>
      </c>
    </row>
    <row r="106" spans="1:14" x14ac:dyDescent="0.35">
      <c r="A106" s="7" t="s">
        <v>94</v>
      </c>
      <c r="B106" s="8" t="s">
        <v>182</v>
      </c>
      <c r="C106" s="10">
        <f>20.47*P10</f>
        <v>24.768699999999999</v>
      </c>
      <c r="D106" s="10"/>
      <c r="E106" s="10"/>
      <c r="F106" s="10"/>
      <c r="G106" s="3" t="s">
        <v>150</v>
      </c>
      <c r="H106" s="9" t="s">
        <v>152</v>
      </c>
      <c r="I106" s="3"/>
      <c r="J106" s="9"/>
      <c r="K106" s="9"/>
      <c r="L106" s="10">
        <f t="shared" si="11"/>
        <v>123.84350000000001</v>
      </c>
      <c r="M106" s="3"/>
      <c r="N106" s="10">
        <f t="shared" si="12"/>
        <v>57.793633333333325</v>
      </c>
    </row>
    <row r="107" spans="1:14" x14ac:dyDescent="0.35">
      <c r="A107" s="7" t="s">
        <v>95</v>
      </c>
      <c r="B107" s="8" t="s">
        <v>3</v>
      </c>
      <c r="C107" s="37">
        <v>21.54</v>
      </c>
      <c r="D107" s="10"/>
      <c r="E107" s="10"/>
      <c r="F107" s="10"/>
      <c r="G107" s="3" t="s">
        <v>374</v>
      </c>
      <c r="H107" s="9" t="s">
        <v>267</v>
      </c>
      <c r="I107" s="3"/>
      <c r="J107" s="3"/>
      <c r="K107" s="3"/>
      <c r="L107" s="10">
        <f t="shared" si="11"/>
        <v>107.7</v>
      </c>
      <c r="M107" s="3" t="str">
        <f>IF(E107="","",E107*(0.9*1000/$P$5+0.1*1000/$P$6))</f>
        <v/>
      </c>
      <c r="N107" s="10">
        <f t="shared" si="12"/>
        <v>50.26</v>
      </c>
    </row>
    <row r="108" spans="1:14" x14ac:dyDescent="0.35">
      <c r="A108" s="7" t="s">
        <v>96</v>
      </c>
      <c r="B108" s="8" t="s">
        <v>168</v>
      </c>
      <c r="C108" s="10">
        <v>14.9</v>
      </c>
      <c r="D108" s="10"/>
      <c r="E108" s="10"/>
      <c r="F108" s="10"/>
      <c r="G108" s="3" t="s">
        <v>210</v>
      </c>
      <c r="H108" s="9" t="s">
        <v>211</v>
      </c>
      <c r="I108" s="3"/>
      <c r="J108" s="3"/>
      <c r="K108" s="3"/>
      <c r="L108" s="10">
        <f t="shared" si="11"/>
        <v>74.5</v>
      </c>
      <c r="M108" s="3" t="str">
        <f>IF(E108="","",E108*(0.9*1000/$P$5+0.1*1000/$P$6))</f>
        <v/>
      </c>
      <c r="N108" s="10">
        <f t="shared" si="12"/>
        <v>34.766666666666666</v>
      </c>
    </row>
    <row r="109" spans="1:14" x14ac:dyDescent="0.35">
      <c r="A109" s="7" t="s">
        <v>97</v>
      </c>
      <c r="B109" s="8" t="s">
        <v>166</v>
      </c>
      <c r="C109" s="10">
        <v>20.69</v>
      </c>
      <c r="D109" s="10"/>
      <c r="E109" s="10"/>
      <c r="F109" s="10"/>
      <c r="G109" s="3" t="s">
        <v>215</v>
      </c>
      <c r="H109" s="9" t="s">
        <v>224</v>
      </c>
      <c r="I109" s="3"/>
      <c r="J109" s="3"/>
      <c r="K109" s="3"/>
      <c r="L109" s="10">
        <f t="shared" si="11"/>
        <v>103.45</v>
      </c>
      <c r="M109" s="3" t="str">
        <f>IF(E109="","",E109*(0.9*1000/$P$5+0.1*1000/$P$6))</f>
        <v/>
      </c>
      <c r="N109" s="10">
        <f t="shared" si="12"/>
        <v>48.276666666666664</v>
      </c>
    </row>
    <row r="110" spans="1:14" x14ac:dyDescent="0.35">
      <c r="A110" s="7" t="s">
        <v>98</v>
      </c>
      <c r="B110" s="8" t="s">
        <v>189</v>
      </c>
      <c r="C110" s="10">
        <f>16.79*P10</f>
        <v>20.315899999999999</v>
      </c>
      <c r="D110" s="10"/>
      <c r="E110" s="10"/>
      <c r="F110" s="10"/>
      <c r="G110" s="3" t="s">
        <v>150</v>
      </c>
      <c r="H110" s="9" t="s">
        <v>152</v>
      </c>
      <c r="I110" s="3"/>
      <c r="J110" s="9"/>
      <c r="K110" s="9"/>
      <c r="L110" s="10">
        <f t="shared" si="11"/>
        <v>101.5795</v>
      </c>
      <c r="M110" s="3"/>
      <c r="N110" s="10">
        <f t="shared" si="12"/>
        <v>47.403766666666662</v>
      </c>
    </row>
    <row r="111" spans="1:14" x14ac:dyDescent="0.35">
      <c r="A111" s="7" t="s">
        <v>99</v>
      </c>
      <c r="B111" s="8" t="s">
        <v>189</v>
      </c>
      <c r="C111" s="10">
        <v>18.920000000000002</v>
      </c>
      <c r="D111" s="10"/>
      <c r="E111" s="10"/>
      <c r="F111" s="10"/>
      <c r="G111" s="3" t="s">
        <v>139</v>
      </c>
      <c r="H111" s="9" t="s">
        <v>209</v>
      </c>
      <c r="I111" s="3"/>
      <c r="J111" s="3"/>
      <c r="K111" s="3"/>
      <c r="L111" s="10">
        <f t="shared" si="11"/>
        <v>94.6</v>
      </c>
      <c r="M111" s="3" t="str">
        <f>IF(E111="","",E111*(0.9*1000/$P$5+0.1*1000/$P$6))</f>
        <v/>
      </c>
      <c r="N111" s="10">
        <f t="shared" si="12"/>
        <v>44.146666666666668</v>
      </c>
    </row>
    <row r="112" spans="1:14" x14ac:dyDescent="0.35">
      <c r="A112" s="7" t="s">
        <v>100</v>
      </c>
      <c r="B112" s="8" t="s">
        <v>190</v>
      </c>
      <c r="C112" s="10">
        <v>20.72</v>
      </c>
      <c r="D112" s="10">
        <v>159.34</v>
      </c>
      <c r="E112" s="10">
        <v>17.34</v>
      </c>
      <c r="F112" s="10">
        <v>57.8</v>
      </c>
      <c r="G112" s="3" t="s">
        <v>151</v>
      </c>
      <c r="H112" s="9" t="s">
        <v>147</v>
      </c>
      <c r="I112" s="3"/>
      <c r="J112" s="9"/>
      <c r="K112" s="9"/>
      <c r="L112" s="10">
        <f t="shared" si="11"/>
        <v>103.6</v>
      </c>
      <c r="M112" s="10">
        <f>F112</f>
        <v>57.8</v>
      </c>
      <c r="N112" s="10">
        <f t="shared" si="12"/>
        <v>57.8</v>
      </c>
    </row>
    <row r="113" spans="1:14" x14ac:dyDescent="0.35">
      <c r="A113" s="7" t="s">
        <v>101</v>
      </c>
      <c r="B113" s="8" t="s">
        <v>164</v>
      </c>
      <c r="C113" s="10">
        <f>13.72*P10</f>
        <v>16.601199999999999</v>
      </c>
      <c r="D113" s="10"/>
      <c r="E113" s="10"/>
      <c r="F113" s="10"/>
      <c r="G113" s="3" t="s">
        <v>205</v>
      </c>
      <c r="H113" s="9" t="s">
        <v>206</v>
      </c>
      <c r="I113" s="3"/>
      <c r="J113" s="3"/>
      <c r="K113" s="3"/>
      <c r="L113" s="10">
        <f t="shared" si="11"/>
        <v>83.005999999999986</v>
      </c>
      <c r="M113" s="3" t="str">
        <f>IF(E113="","",E113*(0.9*1000/$P$5+0.1*1000/$P$6))</f>
        <v/>
      </c>
      <c r="N113" s="10">
        <f t="shared" si="12"/>
        <v>38.736133333333328</v>
      </c>
    </row>
    <row r="114" spans="1:14" x14ac:dyDescent="0.35">
      <c r="A114" s="7" t="s">
        <v>102</v>
      </c>
      <c r="B114" s="8" t="s">
        <v>180</v>
      </c>
      <c r="C114" s="10">
        <v>21.47</v>
      </c>
      <c r="D114" s="10"/>
      <c r="E114" s="10"/>
      <c r="F114" s="10"/>
      <c r="G114" s="3" t="s">
        <v>215</v>
      </c>
      <c r="H114" s="9" t="s">
        <v>222</v>
      </c>
      <c r="I114" s="3"/>
      <c r="J114" s="3"/>
      <c r="K114" s="3"/>
      <c r="L114" s="10">
        <f t="shared" si="11"/>
        <v>107.35</v>
      </c>
      <c r="M114" s="3" t="str">
        <f>IF(E114="","",E114*(0.9*1000/$P$5+0.1*1000/$P$6))</f>
        <v/>
      </c>
      <c r="N114" s="10">
        <f t="shared" si="12"/>
        <v>50.096666666666664</v>
      </c>
    </row>
    <row r="115" spans="1:14" x14ac:dyDescent="0.35">
      <c r="A115" s="7" t="s">
        <v>103</v>
      </c>
      <c r="B115" s="8" t="s">
        <v>191</v>
      </c>
      <c r="C115" s="10">
        <f>20.47*P10</f>
        <v>24.768699999999999</v>
      </c>
      <c r="D115" s="10"/>
      <c r="E115" s="10"/>
      <c r="F115" s="10"/>
      <c r="G115" s="3" t="s">
        <v>150</v>
      </c>
      <c r="H115" s="9" t="s">
        <v>152</v>
      </c>
      <c r="I115" s="3"/>
      <c r="J115" s="9"/>
      <c r="K115" s="9"/>
      <c r="L115" s="10">
        <f t="shared" si="11"/>
        <v>123.84350000000001</v>
      </c>
      <c r="M115" s="3"/>
      <c r="N115" s="10">
        <f t="shared" si="12"/>
        <v>57.793633333333325</v>
      </c>
    </row>
    <row r="116" spans="1:14" x14ac:dyDescent="0.35">
      <c r="A116" s="7" t="s">
        <v>104</v>
      </c>
      <c r="B116" s="8" t="s">
        <v>188</v>
      </c>
      <c r="C116" s="10">
        <v>18.690000000000001</v>
      </c>
      <c r="D116" s="10"/>
      <c r="E116" s="10"/>
      <c r="F116" s="10"/>
      <c r="G116" s="3" t="s">
        <v>139</v>
      </c>
      <c r="H116" s="9" t="s">
        <v>209</v>
      </c>
      <c r="I116" s="3"/>
      <c r="J116" s="3"/>
      <c r="K116" s="3"/>
      <c r="L116" s="10">
        <f t="shared" si="11"/>
        <v>93.45</v>
      </c>
      <c r="M116" s="3" t="str">
        <f t="shared" ref="M116:M121" si="13">IF(E116="","",E116*(0.9*1000/$P$5+0.1*1000/$P$6))</f>
        <v/>
      </c>
      <c r="N116" s="10">
        <f t="shared" si="12"/>
        <v>43.61</v>
      </c>
    </row>
    <row r="117" spans="1:14" x14ac:dyDescent="0.35">
      <c r="A117" s="7" t="s">
        <v>105</v>
      </c>
      <c r="B117" s="8" t="s">
        <v>194</v>
      </c>
      <c r="C117" s="10">
        <f>20.47*P10</f>
        <v>24.768699999999999</v>
      </c>
      <c r="D117" s="10"/>
      <c r="E117" s="10"/>
      <c r="F117" s="10"/>
      <c r="G117" s="3" t="s">
        <v>150</v>
      </c>
      <c r="H117" s="9" t="s">
        <v>261</v>
      </c>
      <c r="I117" s="3"/>
      <c r="J117" s="3"/>
      <c r="K117" s="3"/>
      <c r="L117" s="10">
        <f t="shared" si="11"/>
        <v>123.84350000000001</v>
      </c>
      <c r="M117" s="3" t="str">
        <f t="shared" si="13"/>
        <v/>
      </c>
      <c r="N117" s="10">
        <f t="shared" si="12"/>
        <v>57.793633333333325</v>
      </c>
    </row>
    <row r="118" spans="1:14" x14ac:dyDescent="0.35">
      <c r="A118" s="7" t="s">
        <v>106</v>
      </c>
      <c r="B118" s="8" t="s">
        <v>192</v>
      </c>
      <c r="C118" s="10">
        <v>17.21</v>
      </c>
      <c r="D118" s="10"/>
      <c r="E118" s="10">
        <v>19.059999999999999</v>
      </c>
      <c r="F118" s="10"/>
      <c r="G118" s="3" t="s">
        <v>248</v>
      </c>
      <c r="H118" s="9" t="s">
        <v>249</v>
      </c>
      <c r="I118" s="3"/>
      <c r="J118" s="3"/>
      <c r="K118" s="3"/>
      <c r="L118" s="10">
        <f t="shared" si="11"/>
        <v>86.05</v>
      </c>
      <c r="M118" s="10">
        <f t="shared" si="13"/>
        <v>63.533333333333331</v>
      </c>
      <c r="N118" s="10">
        <f t="shared" si="12"/>
        <v>63.533333333333331</v>
      </c>
    </row>
    <row r="119" spans="1:14" x14ac:dyDescent="0.35">
      <c r="A119" s="7" t="s">
        <v>107</v>
      </c>
      <c r="B119" s="8" t="s">
        <v>177</v>
      </c>
      <c r="C119" s="10">
        <v>19.88</v>
      </c>
      <c r="D119" s="10"/>
      <c r="E119" s="10"/>
      <c r="F119" s="10"/>
      <c r="G119" s="3" t="s">
        <v>210</v>
      </c>
      <c r="H119" s="9" t="s">
        <v>211</v>
      </c>
      <c r="I119" s="3"/>
      <c r="J119" s="3"/>
      <c r="K119" s="3"/>
      <c r="L119" s="10">
        <f t="shared" si="11"/>
        <v>99.4</v>
      </c>
      <c r="M119" s="3" t="str">
        <f t="shared" si="13"/>
        <v/>
      </c>
      <c r="N119" s="10">
        <f t="shared" si="12"/>
        <v>46.386666666666663</v>
      </c>
    </row>
    <row r="120" spans="1:14" x14ac:dyDescent="0.35">
      <c r="A120" s="7" t="s">
        <v>108</v>
      </c>
      <c r="B120" s="8" t="s">
        <v>193</v>
      </c>
      <c r="C120" s="10">
        <v>17.21</v>
      </c>
      <c r="D120" s="10"/>
      <c r="E120" s="10">
        <v>19.059999999999999</v>
      </c>
      <c r="F120" s="10"/>
      <c r="G120" s="3" t="s">
        <v>248</v>
      </c>
      <c r="H120" s="9" t="s">
        <v>249</v>
      </c>
      <c r="I120" s="3"/>
      <c r="J120" s="3"/>
      <c r="K120" s="3"/>
      <c r="L120" s="10">
        <f t="shared" si="11"/>
        <v>86.05</v>
      </c>
      <c r="M120" s="10">
        <f t="shared" si="13"/>
        <v>63.533333333333331</v>
      </c>
      <c r="N120" s="10">
        <f t="shared" si="12"/>
        <v>63.533333333333331</v>
      </c>
    </row>
    <row r="121" spans="1:14" x14ac:dyDescent="0.35">
      <c r="A121" s="7" t="s">
        <v>109</v>
      </c>
      <c r="B121" s="8" t="s">
        <v>176</v>
      </c>
      <c r="C121" s="10">
        <v>17.05</v>
      </c>
      <c r="D121" s="10"/>
      <c r="E121" s="10"/>
      <c r="F121" s="10"/>
      <c r="G121" s="3" t="s">
        <v>216</v>
      </c>
      <c r="H121" s="9" t="s">
        <v>217</v>
      </c>
      <c r="I121" s="3"/>
      <c r="J121" s="3"/>
      <c r="K121" s="3"/>
      <c r="L121" s="10">
        <f t="shared" si="11"/>
        <v>85.25</v>
      </c>
      <c r="M121" s="3" t="str">
        <f t="shared" si="13"/>
        <v/>
      </c>
      <c r="N121" s="10">
        <f t="shared" si="12"/>
        <v>39.783333333333331</v>
      </c>
    </row>
    <row r="122" spans="1:14" x14ac:dyDescent="0.35">
      <c r="A122" s="7" t="s">
        <v>110</v>
      </c>
      <c r="B122" s="8" t="s">
        <v>199</v>
      </c>
      <c r="C122" s="10">
        <f>20.47*P10</f>
        <v>24.768699999999999</v>
      </c>
      <c r="D122" s="10"/>
      <c r="E122" s="10"/>
      <c r="F122" s="10"/>
      <c r="G122" s="3" t="s">
        <v>150</v>
      </c>
      <c r="H122" s="9" t="s">
        <v>152</v>
      </c>
      <c r="I122" s="3"/>
      <c r="J122" s="9"/>
      <c r="K122" s="9"/>
      <c r="L122" s="10">
        <f t="shared" si="11"/>
        <v>123.84350000000001</v>
      </c>
      <c r="M122" s="3"/>
      <c r="N122" s="10">
        <f t="shared" si="12"/>
        <v>57.793633333333325</v>
      </c>
    </row>
    <row r="123" spans="1:14" x14ac:dyDescent="0.35">
      <c r="A123" s="7" t="s">
        <v>111</v>
      </c>
      <c r="B123" s="8" t="s">
        <v>200</v>
      </c>
      <c r="C123" s="38">
        <v>19.809999999999999</v>
      </c>
      <c r="D123" s="10"/>
      <c r="E123" s="10"/>
      <c r="F123" s="10"/>
      <c r="G123" s="11" t="s">
        <v>268</v>
      </c>
      <c r="H123" s="3"/>
      <c r="I123" s="3"/>
      <c r="J123" s="3"/>
      <c r="K123" s="3"/>
      <c r="L123" s="10">
        <f t="shared" si="11"/>
        <v>99.05</v>
      </c>
      <c r="M123" s="3" t="str">
        <f>IF(E123="","",E123*(0.9*1000/$P$5+0.1*1000/$P$6))</f>
        <v/>
      </c>
      <c r="N123" s="10">
        <f t="shared" si="12"/>
        <v>46.223333333333329</v>
      </c>
    </row>
    <row r="124" spans="1:14" x14ac:dyDescent="0.35">
      <c r="A124" s="7" t="s">
        <v>112</v>
      </c>
      <c r="B124" s="8" t="s">
        <v>163</v>
      </c>
      <c r="C124" s="10">
        <v>28.74</v>
      </c>
      <c r="D124" s="10"/>
      <c r="E124" s="10"/>
      <c r="F124" s="10"/>
      <c r="G124" s="3" t="s">
        <v>139</v>
      </c>
      <c r="H124" s="9" t="s">
        <v>209</v>
      </c>
      <c r="I124" s="3"/>
      <c r="J124" s="3"/>
      <c r="K124" s="3"/>
      <c r="L124" s="10">
        <f t="shared" si="11"/>
        <v>143.69999999999999</v>
      </c>
      <c r="M124" s="3" t="str">
        <f>IF(E124="","",E124*(0.9*1000/$P$5+0.1*1000/$P$6))</f>
        <v/>
      </c>
      <c r="N124" s="10">
        <f t="shared" si="12"/>
        <v>67.059999999999988</v>
      </c>
    </row>
    <row r="125" spans="1:14" x14ac:dyDescent="0.35">
      <c r="A125" s="7" t="s">
        <v>113</v>
      </c>
      <c r="B125" s="8" t="s">
        <v>174</v>
      </c>
      <c r="C125" s="10">
        <f>20.47*P10</f>
        <v>24.768699999999999</v>
      </c>
      <c r="D125" s="10"/>
      <c r="E125" s="10"/>
      <c r="F125" s="10"/>
      <c r="G125" s="3" t="s">
        <v>150</v>
      </c>
      <c r="H125" s="9" t="s">
        <v>152</v>
      </c>
      <c r="I125" s="3"/>
      <c r="J125" s="9"/>
      <c r="K125" s="9"/>
      <c r="L125" s="10">
        <f t="shared" si="11"/>
        <v>123.84350000000001</v>
      </c>
      <c r="M125" s="3"/>
      <c r="N125" s="10">
        <f t="shared" si="12"/>
        <v>57.793633333333325</v>
      </c>
    </row>
    <row r="126" spans="1:14" x14ac:dyDescent="0.35">
      <c r="A126" s="7" t="s">
        <v>114</v>
      </c>
      <c r="B126" s="8" t="s">
        <v>173</v>
      </c>
      <c r="C126" s="10">
        <v>17.75</v>
      </c>
      <c r="D126" s="10"/>
      <c r="E126" s="10"/>
      <c r="F126" s="10"/>
      <c r="G126" s="3" t="s">
        <v>210</v>
      </c>
      <c r="H126" s="9" t="s">
        <v>211</v>
      </c>
      <c r="I126" s="3"/>
      <c r="J126" s="3"/>
      <c r="K126" s="3"/>
      <c r="L126" s="10">
        <f t="shared" si="11"/>
        <v>88.75</v>
      </c>
      <c r="M126" s="3" t="str">
        <f t="shared" ref="M126:M138" si="14">IF(E126="","",E126*(0.9*1000/$P$5+0.1*1000/$P$6))</f>
        <v/>
      </c>
      <c r="N126" s="10">
        <f t="shared" si="12"/>
        <v>41.416666666666664</v>
      </c>
    </row>
    <row r="127" spans="1:14" x14ac:dyDescent="0.35">
      <c r="A127" s="7" t="s">
        <v>115</v>
      </c>
      <c r="B127" s="8" t="s">
        <v>9</v>
      </c>
      <c r="C127" s="10">
        <v>15.49</v>
      </c>
      <c r="D127" s="10"/>
      <c r="E127" s="10"/>
      <c r="F127" s="10"/>
      <c r="G127" s="3" t="s">
        <v>366</v>
      </c>
      <c r="H127" s="9" t="s">
        <v>240</v>
      </c>
      <c r="I127" s="3"/>
      <c r="J127" s="3"/>
      <c r="K127" s="3"/>
      <c r="L127" s="10">
        <f t="shared" si="11"/>
        <v>77.45</v>
      </c>
      <c r="M127" s="3" t="str">
        <f t="shared" si="14"/>
        <v/>
      </c>
      <c r="N127" s="10">
        <f t="shared" si="12"/>
        <v>36.143333333333331</v>
      </c>
    </row>
    <row r="128" spans="1:14" x14ac:dyDescent="0.35">
      <c r="A128" s="7" t="s">
        <v>116</v>
      </c>
      <c r="B128" s="8" t="s">
        <v>3</v>
      </c>
      <c r="C128" s="10">
        <v>22.24</v>
      </c>
      <c r="D128" s="10"/>
      <c r="E128" s="10"/>
      <c r="F128" s="10"/>
      <c r="G128" s="3" t="s">
        <v>154</v>
      </c>
      <c r="H128" s="9" t="s">
        <v>153</v>
      </c>
      <c r="I128" s="3"/>
      <c r="J128" s="3"/>
      <c r="K128" s="3"/>
      <c r="L128" s="10">
        <f t="shared" si="11"/>
        <v>111.2</v>
      </c>
      <c r="M128" s="3" t="str">
        <f t="shared" si="14"/>
        <v/>
      </c>
      <c r="N128" s="10">
        <f t="shared" si="12"/>
        <v>51.893333333333324</v>
      </c>
    </row>
    <row r="129" spans="1:14" x14ac:dyDescent="0.35">
      <c r="A129" s="7" t="s">
        <v>117</v>
      </c>
      <c r="B129" s="8" t="s">
        <v>175</v>
      </c>
      <c r="C129" s="10">
        <f>20.12*P10</f>
        <v>24.345200000000002</v>
      </c>
      <c r="D129" s="10"/>
      <c r="E129" s="10"/>
      <c r="F129" s="10"/>
      <c r="G129" s="3" t="s">
        <v>150</v>
      </c>
      <c r="H129" s="9" t="s">
        <v>261</v>
      </c>
      <c r="I129" s="3"/>
      <c r="J129" s="3"/>
      <c r="K129" s="3"/>
      <c r="L129" s="10">
        <f t="shared" si="11"/>
        <v>121.726</v>
      </c>
      <c r="M129" s="3" t="str">
        <f t="shared" si="14"/>
        <v/>
      </c>
      <c r="N129" s="10">
        <f t="shared" si="12"/>
        <v>56.805466666666675</v>
      </c>
    </row>
    <row r="130" spans="1:14" x14ac:dyDescent="0.35">
      <c r="A130" s="7" t="s">
        <v>118</v>
      </c>
      <c r="B130" s="8" t="s">
        <v>187</v>
      </c>
      <c r="C130" s="10">
        <v>15.73</v>
      </c>
      <c r="D130" s="10"/>
      <c r="E130" s="10"/>
      <c r="F130" s="10"/>
      <c r="G130" s="3" t="s">
        <v>359</v>
      </c>
      <c r="H130" s="9" t="s">
        <v>237</v>
      </c>
      <c r="I130" s="3"/>
      <c r="J130" s="3"/>
      <c r="K130" s="3"/>
      <c r="L130" s="10">
        <f t="shared" ref="L130:L138" si="15">C130*1000/$P$4</f>
        <v>78.650000000000006</v>
      </c>
      <c r="M130" s="3" t="str">
        <f t="shared" si="14"/>
        <v/>
      </c>
      <c r="N130" s="10">
        <f t="shared" ref="N130:N138" si="16">IF(M130="",C130*($P$7*1000/$P$5+$P$8*1000/$P$6)*$P$9,M130)</f>
        <v>36.703333333333333</v>
      </c>
    </row>
    <row r="131" spans="1:14" ht="15" thickBot="1" x14ac:dyDescent="0.4">
      <c r="A131" s="28" t="s">
        <v>119</v>
      </c>
      <c r="B131" s="29" t="s">
        <v>183</v>
      </c>
      <c r="C131" s="32">
        <v>24.88</v>
      </c>
      <c r="D131" s="32"/>
      <c r="E131" s="32"/>
      <c r="F131" s="32"/>
      <c r="G131" s="30" t="s">
        <v>139</v>
      </c>
      <c r="H131" s="31" t="s">
        <v>209</v>
      </c>
      <c r="I131" s="30"/>
      <c r="J131" s="30"/>
      <c r="K131" s="30"/>
      <c r="L131" s="32">
        <f t="shared" si="15"/>
        <v>124.4</v>
      </c>
      <c r="M131" s="30" t="str">
        <f t="shared" si="14"/>
        <v/>
      </c>
      <c r="N131" s="32">
        <f t="shared" si="16"/>
        <v>58.053333333333335</v>
      </c>
    </row>
    <row r="132" spans="1:14" x14ac:dyDescent="0.35">
      <c r="A132" s="24" t="s">
        <v>1</v>
      </c>
      <c r="B132" s="25" t="s">
        <v>1</v>
      </c>
      <c r="C132" s="33">
        <f>AVERAGE(C11:C14)</f>
        <v>15.95</v>
      </c>
      <c r="D132" s="33"/>
      <c r="E132" s="33">
        <f t="shared" ref="E132" si="17">AVERAGE(E11:E14)</f>
        <v>9.7174999999999994</v>
      </c>
      <c r="F132" s="33"/>
      <c r="G132" s="27"/>
      <c r="H132" s="27"/>
      <c r="I132" s="27"/>
      <c r="J132" s="27"/>
      <c r="K132" s="27"/>
      <c r="L132" s="26">
        <f t="shared" si="15"/>
        <v>79.75</v>
      </c>
      <c r="M132" s="26">
        <f t="shared" si="14"/>
        <v>32.391666666666666</v>
      </c>
      <c r="N132" s="26">
        <f t="shared" si="16"/>
        <v>32.391666666666666</v>
      </c>
    </row>
    <row r="133" spans="1:14" x14ac:dyDescent="0.35">
      <c r="A133" s="7" t="s">
        <v>6</v>
      </c>
      <c r="B133" s="8" t="s">
        <v>6</v>
      </c>
      <c r="C133" s="34">
        <f>AVERAGE(C8:C9)</f>
        <v>17.82</v>
      </c>
      <c r="D133" s="34"/>
      <c r="E133" s="34"/>
      <c r="F133" s="34"/>
      <c r="G133" s="3"/>
      <c r="H133" s="3"/>
      <c r="I133" s="3"/>
      <c r="J133" s="3"/>
      <c r="K133" s="3"/>
      <c r="L133" s="10">
        <f t="shared" si="15"/>
        <v>89.1</v>
      </c>
      <c r="M133" s="3" t="str">
        <f t="shared" si="14"/>
        <v/>
      </c>
      <c r="N133" s="10">
        <f t="shared" si="16"/>
        <v>41.58</v>
      </c>
    </row>
    <row r="134" spans="1:14" x14ac:dyDescent="0.35">
      <c r="A134" s="19" t="s">
        <v>13</v>
      </c>
      <c r="B134" s="8" t="s">
        <v>3</v>
      </c>
      <c r="C134" s="34">
        <f>AVERAGE(C20:C21)</f>
        <v>20.237349999999999</v>
      </c>
      <c r="D134" s="34"/>
      <c r="E134" s="34"/>
      <c r="F134" s="34"/>
      <c r="G134" s="3"/>
      <c r="H134" s="3"/>
      <c r="I134" s="3"/>
      <c r="J134" s="3"/>
      <c r="K134" s="3"/>
      <c r="L134" s="10">
        <f t="shared" si="15"/>
        <v>101.18674999999999</v>
      </c>
      <c r="M134" s="3" t="str">
        <f t="shared" si="14"/>
        <v/>
      </c>
      <c r="N134" s="10">
        <f t="shared" si="16"/>
        <v>47.220483333333334</v>
      </c>
    </row>
    <row r="135" spans="1:14" x14ac:dyDescent="0.35">
      <c r="A135" s="19" t="s">
        <v>24</v>
      </c>
      <c r="B135" s="8" t="s">
        <v>175</v>
      </c>
      <c r="C135" s="34">
        <f>AVERAGE(C32:C33)</f>
        <v>23.0276</v>
      </c>
      <c r="D135" s="34"/>
      <c r="E135" s="34"/>
      <c r="F135" s="34"/>
      <c r="G135" s="3"/>
      <c r="H135" s="3"/>
      <c r="I135" s="3"/>
      <c r="J135" s="3"/>
      <c r="K135" s="3"/>
      <c r="L135" s="10">
        <f t="shared" si="15"/>
        <v>115.13799999999999</v>
      </c>
      <c r="M135" s="3" t="str">
        <f t="shared" si="14"/>
        <v/>
      </c>
      <c r="N135" s="10">
        <f t="shared" si="16"/>
        <v>53.731066666666663</v>
      </c>
    </row>
    <row r="136" spans="1:14" x14ac:dyDescent="0.35">
      <c r="A136" s="19" t="s">
        <v>60</v>
      </c>
      <c r="B136" s="8" t="s">
        <v>186</v>
      </c>
      <c r="C136" s="34">
        <f>AVERAGE(C69:C70)</f>
        <v>18.222300000000001</v>
      </c>
      <c r="D136" s="34"/>
      <c r="E136" s="34"/>
      <c r="F136" s="34"/>
      <c r="G136" s="3"/>
      <c r="H136" s="3"/>
      <c r="I136" s="3"/>
      <c r="J136" s="3"/>
      <c r="K136" s="3"/>
      <c r="L136" s="10">
        <f t="shared" si="15"/>
        <v>91.111499999999992</v>
      </c>
      <c r="M136" s="3" t="str">
        <f t="shared" si="14"/>
        <v/>
      </c>
      <c r="N136" s="10">
        <f t="shared" si="16"/>
        <v>42.518700000000003</v>
      </c>
    </row>
    <row r="137" spans="1:14" x14ac:dyDescent="0.35">
      <c r="A137" s="19" t="s">
        <v>68</v>
      </c>
      <c r="B137" s="8" t="s">
        <v>184</v>
      </c>
      <c r="C137" s="34">
        <f>AVERAGE(C78:C79)</f>
        <v>21.504166776677668</v>
      </c>
      <c r="D137" s="34"/>
      <c r="E137" s="34"/>
      <c r="F137" s="34">
        <f t="shared" ref="F137" si="18">AVERAGE(F78:F79)</f>
        <v>10.33</v>
      </c>
      <c r="G137" s="3"/>
      <c r="H137" s="3"/>
      <c r="I137" s="3"/>
      <c r="J137" s="3"/>
      <c r="K137" s="3"/>
      <c r="L137" s="10">
        <f t="shared" si="15"/>
        <v>107.52083388338833</v>
      </c>
      <c r="M137" s="3" t="str">
        <f t="shared" si="14"/>
        <v/>
      </c>
      <c r="N137" s="10">
        <f t="shared" si="16"/>
        <v>50.176389145581219</v>
      </c>
    </row>
    <row r="138" spans="1:14" x14ac:dyDescent="0.35">
      <c r="A138" s="7" t="s">
        <v>76</v>
      </c>
      <c r="B138" s="8" t="s">
        <v>186</v>
      </c>
      <c r="C138" s="34">
        <f>AVERAGE(C87:C88)</f>
        <v>11.62</v>
      </c>
      <c r="D138" s="34"/>
      <c r="E138" s="34"/>
      <c r="F138" s="34"/>
      <c r="G138" s="3"/>
      <c r="H138" s="9"/>
      <c r="I138" s="3"/>
      <c r="J138" s="3"/>
      <c r="K138" s="3"/>
      <c r="L138" s="10">
        <f t="shared" si="15"/>
        <v>58.1</v>
      </c>
      <c r="M138" s="3" t="str">
        <f t="shared" si="14"/>
        <v/>
      </c>
      <c r="N138" s="10">
        <f t="shared" si="16"/>
        <v>27.113333333333333</v>
      </c>
    </row>
    <row r="139" spans="1:14" x14ac:dyDescent="0.35">
      <c r="A139" s="20"/>
      <c r="B139" s="20"/>
      <c r="C139" s="21"/>
      <c r="H139" s="22"/>
    </row>
  </sheetData>
  <sheetProtection algorithmName="SHA-512" hashValue="3bL9Y/aUXBl8O52P/2TpQH1dsEk1yFJWymshF4iGTGZt49fsHKx2JwrxvEUDR1Fj5Jdt6Osj00eIXTusnSE9ZA==" saltValue="gRRGBiNfaSUDUDXlsBTwIQ==" spinCount="100000" sheet="1" objects="1" scenarios="1"/>
  <autoFilter ref="A3:Q138" xr:uid="{E0A2059E-C8C9-44BA-9CD6-D6B5AD621824}">
    <filterColumn colId="15" showButton="0"/>
  </autoFilter>
  <mergeCells count="9">
    <mergeCell ref="P2:Q3"/>
    <mergeCell ref="L2:M2"/>
    <mergeCell ref="N2:N3"/>
    <mergeCell ref="A2:A3"/>
    <mergeCell ref="B2:B3"/>
    <mergeCell ref="G2:G3"/>
    <mergeCell ref="J2:J3"/>
    <mergeCell ref="I2:I3"/>
    <mergeCell ref="H2:H3"/>
  </mergeCells>
  <phoneticPr fontId="4" type="noConversion"/>
  <hyperlinks>
    <hyperlink ref="H11" r:id="rId1" xr:uid="{92ABCC56-F09D-4163-8C39-A402F04990BD}"/>
    <hyperlink ref="H12:H14" r:id="rId2" display="https://mvd.riga.lv/nozares/vides-parvalde/atkritumu-apsaimniekosana/" xr:uid="{0D51FA54-69A6-41F2-8F7A-7C3C3F5E2FBD}"/>
    <hyperlink ref="H81" r:id="rId3" xr:uid="{0D7BA1C8-95A7-4113-8209-EAB49C5DFE9B}"/>
    <hyperlink ref="H112" r:id="rId4" xr:uid="{0BCE3165-F275-4907-B46A-F1779DCC4347}"/>
    <hyperlink ref="H66" r:id="rId5" xr:uid="{D9CBF237-4334-4B22-AC66-853B31004ADE}"/>
    <hyperlink ref="H32" r:id="rId6" xr:uid="{CB88047E-FF2C-4C16-9E37-B49631139A76}"/>
    <hyperlink ref="H15" r:id="rId7" xr:uid="{7547B3BA-8D92-44DB-8223-D97E120A8F0A}"/>
    <hyperlink ref="H22" r:id="rId8" xr:uid="{4EE30B3D-A092-4241-8F51-67F4981B76E4}"/>
    <hyperlink ref="H25" r:id="rId9" xr:uid="{8F80400B-28AA-4C11-8DE3-81AF5735E381}"/>
    <hyperlink ref="H26" r:id="rId10" xr:uid="{AAA340E9-5283-4878-A712-285B374BFDD3}"/>
    <hyperlink ref="H37" r:id="rId11" xr:uid="{6C2FDDDA-C1B2-4BB9-8A97-81CEC285D300}"/>
    <hyperlink ref="H40" r:id="rId12" xr:uid="{564684F6-CEDA-4059-8069-B880F588AD54}"/>
    <hyperlink ref="H63" r:id="rId13" xr:uid="{C3987274-61DB-4AAF-A9FC-E551E8639B48}"/>
    <hyperlink ref="H73" r:id="rId14" xr:uid="{687621BF-2426-41D4-9FA2-1FC625F5BE35}"/>
    <hyperlink ref="H74" r:id="rId15" xr:uid="{0BB99256-E82F-4A3F-A9A9-BE41AF8F5B9E}"/>
    <hyperlink ref="H80" r:id="rId16" xr:uid="{437D6B93-2151-43AB-8344-614D83D263ED}"/>
    <hyperlink ref="H84" r:id="rId17" xr:uid="{0F5366FD-0772-4098-A119-74F1AB7C9C10}"/>
    <hyperlink ref="H96" r:id="rId18" xr:uid="{98BB0800-EE3A-4820-95B4-D9024BCF5E0A}"/>
    <hyperlink ref="H97" r:id="rId19" xr:uid="{12BF9B05-C623-44E6-A062-22F26512B30F}"/>
    <hyperlink ref="H105" r:id="rId20" xr:uid="{5EB15566-5B51-4CB9-9C2D-7E190E2344A9}"/>
    <hyperlink ref="H106" r:id="rId21" xr:uid="{1D9E6775-8924-4841-BA65-41FC1C432533}"/>
    <hyperlink ref="H110" r:id="rId22" xr:uid="{061519DD-606F-49D4-BD5B-729ED2E4862A}"/>
    <hyperlink ref="H115" r:id="rId23" xr:uid="{ADF85F91-7D59-4A3D-9A1E-9868BDCB31F3}"/>
    <hyperlink ref="H122" r:id="rId24" xr:uid="{8489A294-7A37-49F1-A760-B5AC3C913B9E}"/>
    <hyperlink ref="H125" r:id="rId25" xr:uid="{ED3B6B87-95C6-4D5C-A2EF-57046A74BDCB}"/>
    <hyperlink ref="H60" r:id="rId26" xr:uid="{C65C5CBB-8827-49F9-9828-5ECF289A4750}"/>
    <hyperlink ref="H20" r:id="rId27" xr:uid="{E8D5B95C-B972-4CEB-9E3A-94151490BD54}"/>
    <hyperlink ref="H67" r:id="rId28" xr:uid="{B649457F-9BBF-4C14-A268-E7EC3C5CA511}"/>
    <hyperlink ref="H128" r:id="rId29" xr:uid="{655765C0-4A58-4F5E-B52F-F5E2343FFF7E}"/>
    <hyperlink ref="H18" r:id="rId30" xr:uid="{7A515E5E-DC82-40E9-9333-ABF9BE49841E}"/>
    <hyperlink ref="H56" r:id="rId31" xr:uid="{9F1B3414-94D6-40A3-AB2C-69984D720D7F}"/>
    <hyperlink ref="H85" r:id="rId32" xr:uid="{17F11AB3-E354-45E4-BFF0-99D5E6151F81}"/>
    <hyperlink ref="H5" r:id="rId33" xr:uid="{58770E8F-2FBF-40E5-8D88-A16239436592}"/>
    <hyperlink ref="J5" r:id="rId34" xr:uid="{881F8EBF-6152-4F53-AD60-4E3DDFBE5B7E}"/>
    <hyperlink ref="H113" r:id="rId35" xr:uid="{1B36EA1B-35E3-4A37-A653-693843C7FA66}"/>
    <hyperlink ref="H93" r:id="rId36" xr:uid="{5485744B-4856-41D2-99DD-E2E6ECC0835E}"/>
    <hyperlink ref="H6" r:id="rId37" xr:uid="{D4C10DF8-0708-4309-B791-D910D401483B}"/>
    <hyperlink ref="H38" r:id="rId38" xr:uid="{E6997AB0-63FA-447B-9C56-DA95E6067711}"/>
    <hyperlink ref="H42" r:id="rId39" xr:uid="{3AF1E3DD-7CC0-459B-BA1B-2199CF6F7A3F}"/>
    <hyperlink ref="H53" r:id="rId40" xr:uid="{49A7BFB3-7291-4631-8796-59BF1ABA88ED}"/>
    <hyperlink ref="H55" r:id="rId41" xr:uid="{B39DBB16-5459-4C82-B1E9-A19E3953390F}"/>
    <hyperlink ref="H69" r:id="rId42" xr:uid="{35AC0A11-B67A-47F0-844D-8A4C6E35C81D}"/>
    <hyperlink ref="H71" r:id="rId43" xr:uid="{47568C06-D2AE-4A86-919D-1D85C2676BE8}"/>
    <hyperlink ref="H86" r:id="rId44" xr:uid="{0A522574-C7CE-4F88-AE0F-AF6FEB260585}"/>
    <hyperlink ref="H90" r:id="rId45" xr:uid="{D587ACE0-1348-4F71-A7F5-E1F7B8BAE70E}"/>
    <hyperlink ref="H111" r:id="rId46" xr:uid="{1D401A8D-FFFA-4AAB-B7FD-5A86D9FD46CF}"/>
    <hyperlink ref="H116" r:id="rId47" xr:uid="{01BD98CD-5504-4C20-AAD2-48B0D314F1B5}"/>
    <hyperlink ref="H124" r:id="rId48" xr:uid="{6B73DF38-098D-4B6A-892F-3C15230031F7}"/>
    <hyperlink ref="H131" r:id="rId49" xr:uid="{320A1F57-10F2-4C2D-82D2-87BC5CB9B655}"/>
    <hyperlink ref="H27" r:id="rId50" xr:uid="{30C446DF-B97C-4767-89CE-277FF841C897}"/>
    <hyperlink ref="H28:H29" r:id="rId51" display="https://www.ecobaltiavide.lv/blog/izmainas-sadzives-atkritumu-apsaimniekosanas-maksa-no-2021-gada-1-janvara/" xr:uid="{26EB3B42-F269-477D-94EB-856E17294D4A}"/>
    <hyperlink ref="H82" r:id="rId52" xr:uid="{74B1E522-0F8E-4C05-949A-64313CFEDD9D}"/>
    <hyperlink ref="H119" r:id="rId53" xr:uid="{7119FBE1-FE0B-4CC7-BA34-F0E8ECC874F6}"/>
    <hyperlink ref="H126" r:id="rId54" xr:uid="{D16670C5-5CC9-47B4-97AF-8E456B7757D8}"/>
    <hyperlink ref="H99" r:id="rId55" xr:uid="{5A0A217D-FE2C-4AE7-91F3-4E149E22C6F3}"/>
    <hyperlink ref="H17" r:id="rId56" xr:uid="{7ED9CD66-AAFE-4471-AC04-841D4BD69770}"/>
    <hyperlink ref="H102" r:id="rId57" xr:uid="{BA01D224-4178-495C-B0D4-72EC551EFE12}"/>
    <hyperlink ref="H121" r:id="rId58" xr:uid="{9514D5D5-77B8-47C9-BC7B-90D9E37B1061}"/>
    <hyperlink ref="H95" r:id="rId59" xr:uid="{92B564AD-A058-4E02-80B7-8C2E62D777EE}"/>
    <hyperlink ref="H50" r:id="rId60" xr:uid="{C75D91F9-A262-4BC7-94FF-C73C03204E32}"/>
    <hyperlink ref="H19" r:id="rId61" xr:uid="{4FE45004-6A30-4E7D-9240-26BDC1E4DE82}"/>
    <hyperlink ref="H92" r:id="rId62" xr:uid="{C98E8A5A-D7C3-4905-9B47-544BE2F63159}"/>
    <hyperlink ref="H114" r:id="rId63" xr:uid="{D806F5F0-1742-468E-9991-EF811B455BB0}"/>
    <hyperlink ref="H36" r:id="rId64" xr:uid="{56909874-D872-46F7-9795-82F89869389E}"/>
    <hyperlink ref="H109" r:id="rId65" xr:uid="{3F659231-DAFC-4801-8597-092896481719}"/>
    <hyperlink ref="H24" r:id="rId66" xr:uid="{B1E5F648-B883-4BE3-908C-1406E7F88A95}"/>
    <hyperlink ref="H51" r:id="rId67" xr:uid="{DC4873ED-9A45-4FA1-AFE9-6FFE9697234F}"/>
    <hyperlink ref="H39" r:id="rId68" xr:uid="{011689C2-8D7D-4ABC-951D-346E30F8373D}"/>
    <hyperlink ref="H48" r:id="rId69" xr:uid="{DE82E470-94E7-42AC-BF91-ED4EA1B65610}"/>
    <hyperlink ref="H33" r:id="rId70" xr:uid="{D6100514-E87E-44BE-A565-319A5FAD9277}"/>
    <hyperlink ref="H75" r:id="rId71" xr:uid="{A5CDD461-4BE3-46D2-8B91-F497F9EB9FC2}"/>
    <hyperlink ref="H4" r:id="rId72" xr:uid="{854FED1B-470A-49AE-892E-3BDC0D25EA26}"/>
    <hyperlink ref="H43" r:id="rId73" xr:uid="{947D0830-E1D8-477A-8596-62ABB00C18FE}"/>
    <hyperlink ref="H54" r:id="rId74" xr:uid="{A79B2F11-43CC-457C-9060-0468A2D55D87}"/>
    <hyperlink ref="H68" r:id="rId75" xr:uid="{7C8F080E-912F-4E59-A97B-DB315366737B}"/>
    <hyperlink ref="H77" r:id="rId76" xr:uid="{B29B708D-0A87-4647-8D37-D9E39ABF3A2C}"/>
    <hyperlink ref="H10" r:id="rId77" xr:uid="{D9813E17-D67D-4B45-A03E-63FA15B2C085}"/>
    <hyperlink ref="H41" r:id="rId78" xr:uid="{2AA52533-B9CF-4669-8B79-59991DEC3517}"/>
    <hyperlink ref="H62" r:id="rId79" xr:uid="{BC72C228-9F17-4AE6-9D8D-97CFC747B63F}"/>
    <hyperlink ref="H98" r:id="rId80" xr:uid="{289CAE5B-7D81-4F0F-BF5C-A1C7DAFE28B9}"/>
    <hyperlink ref="H130" r:id="rId81" xr:uid="{018B62D7-9EA7-4547-A0A8-BB38EC68FE2F}"/>
    <hyperlink ref="H7" r:id="rId82" xr:uid="{5844BD59-AC14-46C3-BB46-EE7564D98BA6}"/>
    <hyperlink ref="H59" r:id="rId83" xr:uid="{ED415472-7240-4753-9B77-6DFEBCDAA235}"/>
    <hyperlink ref="H16" r:id="rId84" xr:uid="{7DC4AA91-C959-40CA-8FF9-7FF2194612C7}"/>
    <hyperlink ref="H127" r:id="rId85" xr:uid="{999ACFB4-7994-4992-8CD0-C060D009EC24}"/>
    <hyperlink ref="H23" r:id="rId86" xr:uid="{5522CA80-DA98-4746-A313-17B990209606}"/>
    <hyperlink ref="H70" r:id="rId87" xr:uid="{B28D4427-32EB-49C0-B191-A9467F1D3DF6}"/>
    <hyperlink ref="I51" r:id="rId88" xr:uid="{8EE1BE8C-E44E-4FE6-94BB-AE834BFC37FC}"/>
    <hyperlink ref="J88" r:id="rId89" xr:uid="{E875590E-5B64-4585-90CB-1129AE11E164}"/>
    <hyperlink ref="J64" r:id="rId90" xr:uid="{CD4A71EA-761B-4AFD-B9CA-08192A86D7AF}"/>
    <hyperlink ref="H34" r:id="rId91" xr:uid="{233652B3-C548-4694-972C-8EFDA1634B19}"/>
    <hyperlink ref="H104" r:id="rId92" xr:uid="{DA32C6A9-AD79-4C30-A22E-76991C7344B3}"/>
    <hyperlink ref="H44" r:id="rId93" xr:uid="{0D098748-4AAF-4D01-B220-C0CD6CF561B2}"/>
    <hyperlink ref="H120" r:id="rId94" xr:uid="{DF39C7E1-B586-4D2E-832B-063E9844A97C}"/>
    <hyperlink ref="H118" r:id="rId95" xr:uid="{15F97F6B-0914-4577-910C-D7F2F8364216}"/>
    <hyperlink ref="H100" r:id="rId96" xr:uid="{55A14AEB-CC2F-4D3E-BC33-AAAF2D701AC0}"/>
    <hyperlink ref="H83" r:id="rId97" xr:uid="{C0E0C950-97C7-48F4-9046-FBD97DFD5229}"/>
    <hyperlink ref="H61" r:id="rId98" xr:uid="{D575BEA4-0B17-41FC-B632-71F8A95F79F4}"/>
    <hyperlink ref="H58" r:id="rId99" xr:uid="{2CBA33A2-3315-43CB-A2FF-97F598882DC8}"/>
    <hyperlink ref="H47" r:id="rId100" xr:uid="{EABC0B6B-53E9-4F8F-9BD9-4938AF2F255F}"/>
    <hyperlink ref="H45" r:id="rId101" xr:uid="{AD6AD6F0-279B-40AB-BE37-33DABE369D46}"/>
    <hyperlink ref="H52" r:id="rId102" xr:uid="{0D4C5AA5-F4C4-46F2-9239-5B7F5F486BEC}"/>
    <hyperlink ref="H49" r:id="rId103" xr:uid="{28D002AD-A8E5-441D-8609-3DB89FC11654}"/>
    <hyperlink ref="J49" r:id="rId104" xr:uid="{7959B6B2-D4AC-4BE7-896A-8758A7159AA9}"/>
    <hyperlink ref="H46" r:id="rId105" xr:uid="{8DAB3DAC-5BE0-42A2-A6BD-DE352224D156}"/>
    <hyperlink ref="J7" r:id="rId106" xr:uid="{3DF72633-5993-48B4-980B-BACEE4483D4A}"/>
    <hyperlink ref="H79" r:id="rId107" xr:uid="{F685AD13-FF25-4B91-A923-018CAEAF8EB6}"/>
    <hyperlink ref="H78" r:id="rId108" xr:uid="{9A281213-F4B8-4D24-ACF5-07D1A668B77F}"/>
    <hyperlink ref="H76" r:id="rId109" xr:uid="{A29BF522-1417-4104-8479-5E9ED96EEAC1}"/>
    <hyperlink ref="H91" r:id="rId110" xr:uid="{A6BA9565-7E59-4EE0-A5BC-1A37E52C0E80}"/>
    <hyperlink ref="H103" r:id="rId111" xr:uid="{0BC1BBAD-81A5-463B-AD70-72AF1CFDE7E3}"/>
    <hyperlink ref="H31" r:id="rId112" xr:uid="{60607A0C-E7A1-45FB-A695-DEFFBAE5E9CD}"/>
    <hyperlink ref="H129" r:id="rId113" xr:uid="{908A7BE0-B2A8-4B3C-BEA5-4045F388EC70}"/>
    <hyperlink ref="H117" r:id="rId114" xr:uid="{8CF1ED37-B253-4C86-B143-07F650CDF3B0}"/>
    <hyperlink ref="H57" r:id="rId115" xr:uid="{4F9FEFAF-92E4-4195-9E01-68D99713636D}"/>
    <hyperlink ref="H65" r:id="rId116" xr:uid="{3244E1F0-E4DC-4631-A0C0-BA055A8BC171}"/>
    <hyperlink ref="H89" r:id="rId117" xr:uid="{F614C585-BFD4-49AC-9984-FA21ED70A83B}"/>
    <hyperlink ref="H94" r:id="rId118" xr:uid="{A8C96C36-FD2C-460B-8C1F-138D53889B5F}"/>
    <hyperlink ref="H101" r:id="rId119" xr:uid="{1C1E3A42-846C-4598-A977-847517ABB438}"/>
    <hyperlink ref="H107" r:id="rId120" xr:uid="{8F8C9DDC-FBB2-4F89-A803-AD66F77A56C7}"/>
    <hyperlink ref="H9" r:id="rId121" xr:uid="{D5F54495-C85C-4E7E-8484-3EBFC71FC83C}"/>
    <hyperlink ref="H8" r:id="rId122" xr:uid="{F6CE933E-284C-4057-B147-73485FE4C497}"/>
    <hyperlink ref="J17" r:id="rId123" xr:uid="{31AC6332-E605-4F4D-8549-E911C3A44D16}"/>
  </hyperlinks>
  <pageMargins left="0.7" right="0.7" top="0.75" bottom="0.75" header="0.3" footer="0.3"/>
  <pageSetup paperSize="9" orientation="portrait" verticalDpi="0" r:id="rId124"/>
  <legacyDrawing r:id="rId12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70C26-DACC-4F81-8706-A12C6C6D6BDB}">
  <sheetPr>
    <tabColor rgb="FF92D050"/>
  </sheetPr>
  <dimension ref="A1:Q26"/>
  <sheetViews>
    <sheetView topLeftCell="A2" zoomScale="85" zoomScaleNormal="85" workbookViewId="0">
      <selection activeCell="C13" sqref="C13"/>
    </sheetView>
  </sheetViews>
  <sheetFormatPr defaultColWidth="8.90625" defaultRowHeight="14.5" x14ac:dyDescent="0.35"/>
  <cols>
    <col min="1" max="2" width="20.81640625" style="4" customWidth="1"/>
    <col min="3" max="4" width="18.54296875" style="4" customWidth="1"/>
    <col min="5" max="5" width="21.08984375" style="4" customWidth="1"/>
    <col min="6" max="6" width="13.453125" style="4" customWidth="1"/>
    <col min="7" max="7" width="15.08984375" style="4" customWidth="1"/>
    <col min="8" max="8" width="21.54296875" style="4" customWidth="1"/>
    <col min="9" max="12" width="8.90625" style="4"/>
    <col min="13" max="14" width="16.08984375" style="4" customWidth="1"/>
    <col min="15" max="16384" width="8.90625" style="4"/>
  </cols>
  <sheetData>
    <row r="1" spans="1:17" s="41" customFormat="1" ht="44.4" customHeight="1" x14ac:dyDescent="0.6">
      <c r="A1" s="40" t="s">
        <v>523</v>
      </c>
      <c r="B1" s="190"/>
    </row>
    <row r="2" spans="1:17" ht="44.4" customHeight="1" x14ac:dyDescent="0.35">
      <c r="A2" s="247" t="s">
        <v>436</v>
      </c>
      <c r="B2" s="249" t="s">
        <v>496</v>
      </c>
      <c r="C2" s="245" t="s">
        <v>510</v>
      </c>
      <c r="D2" s="245" t="s">
        <v>509</v>
      </c>
      <c r="E2" s="245" t="s">
        <v>511</v>
      </c>
      <c r="F2" s="245" t="s">
        <v>524</v>
      </c>
      <c r="G2" s="245" t="s">
        <v>508</v>
      </c>
      <c r="H2" s="245" t="s">
        <v>517</v>
      </c>
      <c r="I2" s="257" t="s">
        <v>421</v>
      </c>
      <c r="J2" s="257"/>
      <c r="K2" s="257"/>
      <c r="L2" s="257"/>
      <c r="M2" s="245" t="s">
        <v>527</v>
      </c>
      <c r="N2" s="245" t="s">
        <v>528</v>
      </c>
    </row>
    <row r="3" spans="1:17" s="191" customFormat="1" ht="13.75" customHeight="1" x14ac:dyDescent="0.3">
      <c r="A3" s="248"/>
      <c r="B3" s="250"/>
      <c r="C3" s="246"/>
      <c r="D3" s="246"/>
      <c r="E3" s="246"/>
      <c r="F3" s="246"/>
      <c r="G3" s="246"/>
      <c r="H3" s="246"/>
      <c r="I3" s="192">
        <v>2021</v>
      </c>
      <c r="J3" s="192">
        <v>2022</v>
      </c>
      <c r="K3" s="192">
        <v>2023</v>
      </c>
      <c r="L3" s="192">
        <v>2030</v>
      </c>
      <c r="M3" s="246"/>
      <c r="N3" s="246"/>
    </row>
    <row r="4" spans="1:17" x14ac:dyDescent="0.35">
      <c r="A4" s="193" t="s">
        <v>176</v>
      </c>
      <c r="B4" s="193" t="s">
        <v>497</v>
      </c>
      <c r="C4" s="194">
        <v>21000</v>
      </c>
      <c r="D4" s="195" t="s">
        <v>475</v>
      </c>
      <c r="E4" s="195">
        <v>0</v>
      </c>
      <c r="F4" s="195" t="s">
        <v>333</v>
      </c>
      <c r="G4" s="195" t="s">
        <v>333</v>
      </c>
      <c r="H4" s="196" t="s">
        <v>333</v>
      </c>
      <c r="I4" s="195">
        <v>10120.614276009781</v>
      </c>
      <c r="J4" s="195">
        <v>10263.113451745645</v>
      </c>
      <c r="K4" s="195">
        <v>10348.217727622903</v>
      </c>
      <c r="L4" s="201">
        <v>10399.315422810472</v>
      </c>
      <c r="M4" s="200">
        <f>C4+E4</f>
        <v>21000</v>
      </c>
      <c r="N4" s="200">
        <f>M4</f>
        <v>21000</v>
      </c>
    </row>
    <row r="5" spans="1:17" x14ac:dyDescent="0.35">
      <c r="A5" s="258" t="s">
        <v>437</v>
      </c>
      <c r="B5" s="193" t="s">
        <v>498</v>
      </c>
      <c r="C5" s="194">
        <v>19000</v>
      </c>
      <c r="D5" s="197" t="s">
        <v>513</v>
      </c>
      <c r="E5" s="195">
        <v>3200</v>
      </c>
      <c r="F5" s="195">
        <v>1600</v>
      </c>
      <c r="G5" s="193">
        <v>2008</v>
      </c>
      <c r="H5" s="196" t="s">
        <v>518</v>
      </c>
      <c r="I5" s="254">
        <v>15217.864943657885</v>
      </c>
      <c r="J5" s="254">
        <v>15437.925101745865</v>
      </c>
      <c r="K5" s="254">
        <v>15572.233435644939</v>
      </c>
      <c r="L5" s="251">
        <v>15701.217169016474</v>
      </c>
      <c r="M5" s="200">
        <f t="shared" ref="M5:M11" si="0">C5+E5</f>
        <v>22200</v>
      </c>
      <c r="N5" s="242">
        <f>SUM(M5:M7)</f>
        <v>39200</v>
      </c>
    </row>
    <row r="6" spans="1:17" ht="29" x14ac:dyDescent="0.35">
      <c r="A6" s="260"/>
      <c r="B6" s="193" t="s">
        <v>499</v>
      </c>
      <c r="C6" s="195"/>
      <c r="D6" s="193"/>
      <c r="E6" s="195">
        <v>7000</v>
      </c>
      <c r="F6" s="193">
        <v>8000</v>
      </c>
      <c r="G6" s="193">
        <v>2012</v>
      </c>
      <c r="H6" s="147" t="s">
        <v>519</v>
      </c>
      <c r="I6" s="255"/>
      <c r="J6" s="255"/>
      <c r="K6" s="255"/>
      <c r="L6" s="252"/>
      <c r="M6" s="200">
        <f t="shared" si="0"/>
        <v>7000</v>
      </c>
      <c r="N6" s="243"/>
    </row>
    <row r="7" spans="1:17" x14ac:dyDescent="0.35">
      <c r="A7" s="259"/>
      <c r="B7" s="193" t="s">
        <v>500</v>
      </c>
      <c r="C7" s="195"/>
      <c r="D7" s="193"/>
      <c r="E7" s="195">
        <v>10000</v>
      </c>
      <c r="F7" s="193">
        <v>4433</v>
      </c>
      <c r="G7" s="193">
        <v>2008</v>
      </c>
      <c r="H7" s="147" t="s">
        <v>518</v>
      </c>
      <c r="I7" s="256"/>
      <c r="J7" s="256"/>
      <c r="K7" s="256"/>
      <c r="L7" s="253"/>
      <c r="M7" s="200">
        <f t="shared" si="0"/>
        <v>10000</v>
      </c>
      <c r="N7" s="244"/>
    </row>
    <row r="8" spans="1:17" ht="43.5" x14ac:dyDescent="0.35">
      <c r="A8" s="258" t="s">
        <v>438</v>
      </c>
      <c r="B8" s="193" t="s">
        <v>501</v>
      </c>
      <c r="C8" s="195">
        <v>125000</v>
      </c>
      <c r="D8" s="198" t="s">
        <v>512</v>
      </c>
      <c r="E8" s="195">
        <v>2000</v>
      </c>
      <c r="F8" s="195">
        <v>1400</v>
      </c>
      <c r="G8" s="193">
        <v>2016</v>
      </c>
      <c r="H8" s="196" t="s">
        <v>520</v>
      </c>
      <c r="I8" s="254">
        <v>147727.69624423311</v>
      </c>
      <c r="J8" s="254">
        <v>149985.32830509054</v>
      </c>
      <c r="K8" s="254">
        <v>151412.98422589712</v>
      </c>
      <c r="L8" s="251">
        <v>153574.59987848389</v>
      </c>
      <c r="M8" s="200">
        <f>C8</f>
        <v>125000</v>
      </c>
      <c r="N8" s="242">
        <f>SUM(M8:M9)</f>
        <v>144000</v>
      </c>
      <c r="Q8" s="187"/>
    </row>
    <row r="9" spans="1:17" x14ac:dyDescent="0.35">
      <c r="A9" s="259"/>
      <c r="B9" s="193" t="s">
        <v>502</v>
      </c>
      <c r="C9" s="194">
        <v>19000</v>
      </c>
      <c r="D9" s="195" t="s">
        <v>475</v>
      </c>
      <c r="E9" s="195">
        <v>5000</v>
      </c>
      <c r="F9" s="193">
        <v>2640</v>
      </c>
      <c r="G9" s="193">
        <v>2013</v>
      </c>
      <c r="H9" s="147" t="s">
        <v>516</v>
      </c>
      <c r="I9" s="256"/>
      <c r="J9" s="256"/>
      <c r="K9" s="256"/>
      <c r="L9" s="253"/>
      <c r="M9" s="200">
        <f>C9</f>
        <v>19000</v>
      </c>
      <c r="N9" s="244"/>
    </row>
    <row r="10" spans="1:17" ht="43.5" x14ac:dyDescent="0.35">
      <c r="A10" s="258" t="s">
        <v>439</v>
      </c>
      <c r="B10" s="193" t="s">
        <v>503</v>
      </c>
      <c r="C10" s="194">
        <v>29693</v>
      </c>
      <c r="D10" s="197" t="s">
        <v>514</v>
      </c>
      <c r="E10" s="195">
        <v>16000</v>
      </c>
      <c r="F10" s="195">
        <v>5600</v>
      </c>
      <c r="G10" s="193">
        <v>2004</v>
      </c>
      <c r="H10" s="196" t="s">
        <v>521</v>
      </c>
      <c r="I10" s="254">
        <v>16594.969879027663</v>
      </c>
      <c r="J10" s="254">
        <v>16788.126324156139</v>
      </c>
      <c r="K10" s="254">
        <v>16886.766060183742</v>
      </c>
      <c r="L10" s="251">
        <v>16681.751359655565</v>
      </c>
      <c r="M10" s="200">
        <f>C10+E10</f>
        <v>45693</v>
      </c>
      <c r="N10" s="242">
        <f>SUM(M10:M11)</f>
        <v>46693</v>
      </c>
    </row>
    <row r="11" spans="1:17" ht="29" x14ac:dyDescent="0.35">
      <c r="A11" s="259"/>
      <c r="B11" s="193" t="s">
        <v>504</v>
      </c>
      <c r="C11" s="195"/>
      <c r="D11" s="193"/>
      <c r="E11" s="195">
        <v>1000</v>
      </c>
      <c r="F11" s="193">
        <v>3540</v>
      </c>
      <c r="G11" s="193">
        <v>2008</v>
      </c>
      <c r="H11" s="147" t="s">
        <v>519</v>
      </c>
      <c r="I11" s="256"/>
      <c r="J11" s="256"/>
      <c r="K11" s="256"/>
      <c r="L11" s="253"/>
      <c r="M11" s="200">
        <f t="shared" si="0"/>
        <v>1000</v>
      </c>
      <c r="N11" s="244"/>
    </row>
    <row r="12" spans="1:17" ht="43.5" x14ac:dyDescent="0.35">
      <c r="A12" s="258" t="s">
        <v>440</v>
      </c>
      <c r="B12" s="193" t="s">
        <v>505</v>
      </c>
      <c r="C12" s="194">
        <v>18500</v>
      </c>
      <c r="D12" s="195" t="s">
        <v>475</v>
      </c>
      <c r="E12" s="195">
        <v>10000</v>
      </c>
      <c r="F12" s="195">
        <v>5000</v>
      </c>
      <c r="G12" s="193">
        <v>2009</v>
      </c>
      <c r="H12" s="147" t="s">
        <v>522</v>
      </c>
      <c r="I12" s="254">
        <v>14742.856842749406</v>
      </c>
      <c r="J12" s="254">
        <v>14913.571385466219</v>
      </c>
      <c r="K12" s="254">
        <v>15000.522335541385</v>
      </c>
      <c r="L12" s="251">
        <v>14820.768590804733</v>
      </c>
      <c r="M12" s="200">
        <f>C12</f>
        <v>18500</v>
      </c>
      <c r="N12" s="242">
        <f>SUM(M12:M13)</f>
        <v>38500</v>
      </c>
    </row>
    <row r="13" spans="1:17" x14ac:dyDescent="0.35">
      <c r="A13" s="259"/>
      <c r="B13" s="193" t="s">
        <v>506</v>
      </c>
      <c r="C13" s="195">
        <v>20000</v>
      </c>
      <c r="D13" s="199" t="s">
        <v>515</v>
      </c>
      <c r="E13" s="195">
        <v>2400</v>
      </c>
      <c r="F13" s="193">
        <v>1700</v>
      </c>
      <c r="G13" s="193">
        <v>2012</v>
      </c>
      <c r="H13" s="147" t="s">
        <v>516</v>
      </c>
      <c r="I13" s="256"/>
      <c r="J13" s="256"/>
      <c r="K13" s="256"/>
      <c r="L13" s="253"/>
      <c r="M13" s="200">
        <f>C13</f>
        <v>20000</v>
      </c>
      <c r="N13" s="244"/>
    </row>
    <row r="17" spans="1:3" ht="15" thickBot="1" x14ac:dyDescent="0.4"/>
    <row r="18" spans="1:3" ht="31.5" thickBot="1" x14ac:dyDescent="0.4">
      <c r="A18" s="155" t="s">
        <v>464</v>
      </c>
      <c r="B18" s="156" t="s">
        <v>465</v>
      </c>
      <c r="C18" s="157" t="s">
        <v>466</v>
      </c>
    </row>
    <row r="19" spans="1:3" ht="15.5" x14ac:dyDescent="0.35">
      <c r="A19" s="236" t="s">
        <v>467</v>
      </c>
      <c r="B19" s="238" t="s">
        <v>468</v>
      </c>
      <c r="C19" s="158"/>
    </row>
    <row r="20" spans="1:3" ht="78" thickBot="1" x14ac:dyDescent="0.4">
      <c r="A20" s="237"/>
      <c r="B20" s="239"/>
      <c r="C20" s="159" t="s">
        <v>469</v>
      </c>
    </row>
    <row r="21" spans="1:3" ht="15.5" x14ac:dyDescent="0.35">
      <c r="A21" s="236" t="s">
        <v>470</v>
      </c>
      <c r="B21" s="240" t="s">
        <v>471</v>
      </c>
      <c r="C21" s="160"/>
    </row>
    <row r="22" spans="1:3" ht="78" thickBot="1" x14ac:dyDescent="0.4">
      <c r="A22" s="237"/>
      <c r="B22" s="241"/>
      <c r="C22" s="161" t="s">
        <v>472</v>
      </c>
    </row>
    <row r="23" spans="1:3" ht="124.5" thickBot="1" x14ac:dyDescent="0.4">
      <c r="A23" s="186" t="s">
        <v>473</v>
      </c>
      <c r="B23" s="159" t="s">
        <v>474</v>
      </c>
      <c r="C23" s="159" t="s">
        <v>475</v>
      </c>
    </row>
    <row r="24" spans="1:3" ht="171" thickBot="1" x14ac:dyDescent="0.4">
      <c r="A24" s="186" t="s">
        <v>476</v>
      </c>
      <c r="B24" s="161" t="s">
        <v>477</v>
      </c>
      <c r="C24" s="161" t="s">
        <v>475</v>
      </c>
    </row>
    <row r="25" spans="1:3" ht="202" thickBot="1" x14ac:dyDescent="0.4">
      <c r="A25" s="186" t="s">
        <v>478</v>
      </c>
      <c r="B25" s="159" t="s">
        <v>479</v>
      </c>
      <c r="C25" s="159" t="s">
        <v>475</v>
      </c>
    </row>
    <row r="26" spans="1:3" ht="171" thickBot="1" x14ac:dyDescent="0.4">
      <c r="A26" s="186" t="s">
        <v>480</v>
      </c>
      <c r="B26" s="161" t="s">
        <v>481</v>
      </c>
      <c r="C26" s="161" t="s">
        <v>482</v>
      </c>
    </row>
  </sheetData>
  <sheetProtection algorithmName="SHA-512" hashValue="Vgxc1MvUmUFicYJnFtpQAseDtZ6iK8bzrZ8M1bw3y3peoVJSbrJMrkBPPgWHuVEW1cJZIQWqItQpdvLXpXu6xQ==" saltValue="g00hXgYN1mTAitgqH+ivDw==" spinCount="100000" sheet="1" objects="1" scenarios="1"/>
  <mergeCells count="39">
    <mergeCell ref="K8:K9"/>
    <mergeCell ref="J8:J9"/>
    <mergeCell ref="I8:I9"/>
    <mergeCell ref="L10:L11"/>
    <mergeCell ref="K10:K11"/>
    <mergeCell ref="J10:J11"/>
    <mergeCell ref="I10:I11"/>
    <mergeCell ref="M2:M3"/>
    <mergeCell ref="N2:N3"/>
    <mergeCell ref="A2:A3"/>
    <mergeCell ref="B2:B3"/>
    <mergeCell ref="L5:L7"/>
    <mergeCell ref="K5:K7"/>
    <mergeCell ref="J5:J7"/>
    <mergeCell ref="I5:I7"/>
    <mergeCell ref="I2:L2"/>
    <mergeCell ref="C2:C3"/>
    <mergeCell ref="D2:D3"/>
    <mergeCell ref="E2:E3"/>
    <mergeCell ref="F2:F3"/>
    <mergeCell ref="G2:G3"/>
    <mergeCell ref="H2:H3"/>
    <mergeCell ref="A5:A7"/>
    <mergeCell ref="A19:A20"/>
    <mergeCell ref="B19:B20"/>
    <mergeCell ref="A21:A22"/>
    <mergeCell ref="B21:B22"/>
    <mergeCell ref="N5:N7"/>
    <mergeCell ref="N8:N9"/>
    <mergeCell ref="N10:N11"/>
    <mergeCell ref="N12:N13"/>
    <mergeCell ref="A8:A9"/>
    <mergeCell ref="L12:L13"/>
    <mergeCell ref="K12:K13"/>
    <mergeCell ref="J12:J13"/>
    <mergeCell ref="I12:I13"/>
    <mergeCell ref="A12:A13"/>
    <mergeCell ref="A10:A11"/>
    <mergeCell ref="L8:L9"/>
  </mergeCells>
  <pageMargins left="0.7" right="0.7" top="0.75" bottom="0.75" header="0.3" footer="0.3"/>
  <pageSetup paperSize="9" orientation="portrait" horizontalDpi="0"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6F41-116D-4240-9456-4C12A9B15E6F}">
  <dimension ref="A1:Y242"/>
  <sheetViews>
    <sheetView zoomScale="85" zoomScaleNormal="85" workbookViewId="0">
      <pane xSplit="1" ySplit="4" topLeftCell="B216" activePane="bottomRight" state="frozen"/>
      <selection pane="topRight" activeCell="B1" sqref="B1"/>
      <selection pane="bottomLeft" activeCell="A5" sqref="A5"/>
      <selection pane="bottomRight"/>
    </sheetView>
  </sheetViews>
  <sheetFormatPr defaultColWidth="8.90625" defaultRowHeight="13" outlineLevelRow="1" x14ac:dyDescent="0.3"/>
  <cols>
    <col min="1" max="1" width="23" style="108" bestFit="1" customWidth="1"/>
    <col min="2" max="4" width="14.54296875" style="108" bestFit="1" customWidth="1"/>
    <col min="5" max="5" width="14.54296875" style="178" bestFit="1" customWidth="1"/>
    <col min="6" max="9" width="15.6328125" style="109" bestFit="1" customWidth="1"/>
    <col min="10" max="13" width="15.36328125" style="110" bestFit="1" customWidth="1"/>
    <col min="14" max="17" width="15.54296875" style="109" bestFit="1" customWidth="1"/>
    <col min="18" max="23" width="11.54296875" style="109" customWidth="1"/>
    <col min="24" max="24" width="8" style="108" customWidth="1"/>
    <col min="25" max="25" width="67.90625" style="108" customWidth="1"/>
    <col min="26" max="16384" width="8.90625" style="108"/>
  </cols>
  <sheetData>
    <row r="1" spans="1:25" ht="26" x14ac:dyDescent="0.6">
      <c r="A1" s="39" t="s">
        <v>530</v>
      </c>
      <c r="B1" s="39"/>
      <c r="C1" s="39"/>
      <c r="D1" s="39"/>
      <c r="E1" s="177"/>
      <c r="N1" s="111"/>
      <c r="O1" s="112"/>
    </row>
    <row r="2" spans="1:25" x14ac:dyDescent="0.3">
      <c r="N2" s="111"/>
      <c r="O2" s="112"/>
      <c r="P2" s="112"/>
      <c r="Q2" s="112"/>
    </row>
    <row r="3" spans="1:25" s="142" customFormat="1" ht="55.25" customHeight="1" x14ac:dyDescent="0.35">
      <c r="A3" s="202" t="s">
        <v>429</v>
      </c>
      <c r="B3" s="263" t="s">
        <v>170</v>
      </c>
      <c r="C3" s="263" t="s">
        <v>435</v>
      </c>
      <c r="D3" s="263" t="s">
        <v>436</v>
      </c>
      <c r="E3" s="261" t="s">
        <v>381</v>
      </c>
      <c r="F3" s="268" t="s">
        <v>0</v>
      </c>
      <c r="G3" s="268"/>
      <c r="H3" s="268"/>
      <c r="I3" s="269"/>
      <c r="J3" s="270" t="s">
        <v>305</v>
      </c>
      <c r="K3" s="271"/>
      <c r="L3" s="271"/>
      <c r="M3" s="272"/>
      <c r="N3" s="273" t="s">
        <v>420</v>
      </c>
      <c r="O3" s="274"/>
      <c r="P3" s="274"/>
      <c r="Q3" s="275"/>
      <c r="R3" s="273" t="s">
        <v>421</v>
      </c>
      <c r="S3" s="274"/>
      <c r="T3" s="274"/>
      <c r="U3" s="275"/>
      <c r="V3" s="109"/>
      <c r="W3" s="109"/>
      <c r="X3" s="207" t="s">
        <v>341</v>
      </c>
      <c r="Y3" s="207"/>
    </row>
    <row r="4" spans="1:25" x14ac:dyDescent="0.3">
      <c r="A4" s="203" t="s">
        <v>486</v>
      </c>
      <c r="B4" s="264"/>
      <c r="C4" s="264"/>
      <c r="D4" s="264"/>
      <c r="E4" s="262"/>
      <c r="F4" s="204" t="s">
        <v>444</v>
      </c>
      <c r="G4" s="122" t="s">
        <v>445</v>
      </c>
      <c r="H4" s="122" t="s">
        <v>446</v>
      </c>
      <c r="I4" s="171" t="s">
        <v>485</v>
      </c>
      <c r="J4" s="122" t="s">
        <v>444</v>
      </c>
      <c r="K4" s="122" t="s">
        <v>445</v>
      </c>
      <c r="L4" s="122" t="s">
        <v>446</v>
      </c>
      <c r="M4" s="171" t="s">
        <v>485</v>
      </c>
      <c r="N4" s="122" t="s">
        <v>447</v>
      </c>
      <c r="O4" s="122" t="s">
        <v>448</v>
      </c>
      <c r="P4" s="122" t="s">
        <v>449</v>
      </c>
      <c r="Q4" s="171" t="s">
        <v>487</v>
      </c>
      <c r="R4" s="122" t="s">
        <v>450</v>
      </c>
      <c r="S4" s="122" t="s">
        <v>451</v>
      </c>
      <c r="T4" s="122" t="s">
        <v>452</v>
      </c>
      <c r="U4" s="171" t="s">
        <v>488</v>
      </c>
      <c r="X4" s="207"/>
      <c r="Y4" s="207"/>
    </row>
    <row r="5" spans="1:25" s="113" customFormat="1" ht="14.5" x14ac:dyDescent="0.35">
      <c r="A5" s="98" t="s">
        <v>306</v>
      </c>
      <c r="B5" s="98" t="s">
        <v>333</v>
      </c>
      <c r="C5" s="98" t="s">
        <v>333</v>
      </c>
      <c r="D5" s="98" t="s">
        <v>333</v>
      </c>
      <c r="E5" s="125">
        <f>SUM(E6:E124)</f>
        <v>64573</v>
      </c>
      <c r="F5" s="125">
        <f>SUM(F6:F124)</f>
        <v>1893223</v>
      </c>
      <c r="G5" s="125">
        <f>SUM(G6:G124)</f>
        <v>1876426</v>
      </c>
      <c r="H5" s="125">
        <f>SUM(H6:H124)</f>
        <v>1859631</v>
      </c>
      <c r="I5" s="125">
        <f>SUM(I6:I124)</f>
        <v>1742028</v>
      </c>
      <c r="J5" s="126">
        <f>IKP!J5</f>
        <v>31075056.674999997</v>
      </c>
      <c r="K5" s="126">
        <f>IKP!K5</f>
        <v>32659884.565424994</v>
      </c>
      <c r="L5" s="126">
        <f>IKP!L5</f>
        <v>33900960.178911142</v>
      </c>
      <c r="M5" s="126">
        <f>IKP!M5</f>
        <v>41020161.816482484</v>
      </c>
      <c r="N5" s="127">
        <f>((-0.0000000006)*IKP!$J$5 + 0.0461)*J5</f>
        <v>853164.62430482276</v>
      </c>
      <c r="O5" s="127">
        <f>((-0.0000000006)*IKP!$K$5 + 0.0461)*K5</f>
        <v>865619.84256996086</v>
      </c>
      <c r="P5" s="127">
        <f>((-0.0000000006)*IKP!$L$5 + 0.0461)*L5</f>
        <v>873269.20361653226</v>
      </c>
      <c r="Q5" s="127">
        <f>((-0.0000000006)*IKP!$L$5 + 0.0461)*M5</f>
        <v>1056655.7363760041</v>
      </c>
      <c r="R5" s="127">
        <f t="shared" ref="R5:U6" si="0">N5*$X$6*$X$5</f>
        <v>204759.50983315747</v>
      </c>
      <c r="S5" s="127">
        <f t="shared" si="0"/>
        <v>207748.76221679061</v>
      </c>
      <c r="T5" s="127">
        <f t="shared" si="0"/>
        <v>209584.60886796776</v>
      </c>
      <c r="U5" s="127">
        <f t="shared" si="0"/>
        <v>253597.37673024097</v>
      </c>
      <c r="V5" s="109"/>
      <c r="W5" s="109"/>
      <c r="X5" s="140">
        <v>0.6</v>
      </c>
      <c r="Y5" s="23" t="s">
        <v>430</v>
      </c>
    </row>
    <row r="6" spans="1:25" s="115" customFormat="1" ht="14.5" hidden="1" outlineLevel="1" x14ac:dyDescent="0.35">
      <c r="A6" s="131" t="s">
        <v>1</v>
      </c>
      <c r="B6" s="176" t="s">
        <v>1</v>
      </c>
      <c r="C6" s="176" t="s">
        <v>1</v>
      </c>
      <c r="D6" s="176" t="s">
        <v>438</v>
      </c>
      <c r="E6" s="180">
        <v>304</v>
      </c>
      <c r="F6" s="132">
        <f>VLOOKUP(A6,Iedz_sk!$B$5:$Y$123,15,FALSE)</f>
        <v>614618</v>
      </c>
      <c r="G6" s="132">
        <f>VLOOKUP(A6,Iedz_sk!$B$5:$Y$123,16,FALSE)</f>
        <v>615772</v>
      </c>
      <c r="H6" s="132">
        <f>VLOOKUP(A6,Iedz_sk!$B$5:$Y$123,17,FALSE)</f>
        <v>616925</v>
      </c>
      <c r="I6" s="172">
        <f>VLOOKUP(A6,Iedz_sk!$B$5:$Y$123,24,FALSE)</f>
        <v>625000</v>
      </c>
      <c r="J6" s="133">
        <f>VLOOKUP($A6,IKP!$Q$6:$AC$124,11,FALSE)</f>
        <v>17476089.690851513</v>
      </c>
      <c r="K6" s="133">
        <f>VLOOKUP($A6,IKP!$Q$6:$AC$124,12,FALSE)</f>
        <v>18367370.265084941</v>
      </c>
      <c r="L6" s="133">
        <f>VLOOKUP($A6,IKP!$Q$6:$AC$124,13,FALSE)</f>
        <v>19065330.335158169</v>
      </c>
      <c r="M6" s="172">
        <f>VLOOKUP($A6,IKP!$Q$6:$AD$124,14,FALSE)</f>
        <v>23069049.705541383</v>
      </c>
      <c r="N6" s="134">
        <f>((-0.0000000006)*IKP!$J$5 + 0.0461)*J6</f>
        <v>479805.44818789844</v>
      </c>
      <c r="O6" s="134">
        <f>((-0.0000000006)*IKP!$K$5 + 0.0461)*K6</f>
        <v>486810.05364355963</v>
      </c>
      <c r="P6" s="134">
        <f>((-0.0000000006)*IKP!$L$5 + 0.0461)*L6</f>
        <v>491111.92575680139</v>
      </c>
      <c r="Q6" s="174">
        <f>((-0.0000000006)*IKP!$M$5 + 0.0461)*M6</f>
        <v>495705.50030118669</v>
      </c>
      <c r="R6" s="134">
        <f t="shared" si="0"/>
        <v>115153.30756509562</v>
      </c>
      <c r="S6" s="134">
        <f t="shared" si="0"/>
        <v>116834.41287445431</v>
      </c>
      <c r="T6" s="134">
        <f t="shared" si="0"/>
        <v>117866.86218163234</v>
      </c>
      <c r="U6" s="172">
        <f t="shared" si="0"/>
        <v>118969.3200722848</v>
      </c>
      <c r="V6" s="109"/>
      <c r="W6" s="109"/>
      <c r="X6" s="140">
        <v>0.4</v>
      </c>
      <c r="Y6" s="23" t="s">
        <v>340</v>
      </c>
    </row>
    <row r="7" spans="1:25" hidden="1" outlineLevel="1" x14ac:dyDescent="0.3">
      <c r="A7" s="98" t="s">
        <v>2</v>
      </c>
      <c r="B7" s="176" t="s">
        <v>2</v>
      </c>
      <c r="C7" s="176" t="s">
        <v>2</v>
      </c>
      <c r="D7" s="176" t="s">
        <v>437</v>
      </c>
      <c r="E7" s="180">
        <v>72</v>
      </c>
      <c r="F7" s="132">
        <f>VLOOKUP(A7,Iedz_sk!$B$5:$Y$123,15,FALSE)</f>
        <v>80627</v>
      </c>
      <c r="G7" s="132">
        <f>VLOOKUP(A7,Iedz_sk!$B$5:$Y$123,16,FALSE)</f>
        <v>79117</v>
      </c>
      <c r="H7" s="132">
        <f>VLOOKUP(A7,Iedz_sk!$B$5:$Y$123,17,FALSE)</f>
        <v>77607</v>
      </c>
      <c r="I7" s="172">
        <f>VLOOKUP(A7,Iedz_sk!$B$5:$Y$123,24,FALSE)</f>
        <v>67039</v>
      </c>
      <c r="J7" s="133">
        <f>VLOOKUP($A7,IKP!$Q$6:$AC$124,11,FALSE)</f>
        <v>738858.72397600824</v>
      </c>
      <c r="K7" s="133">
        <f>VLOOKUP($A7,IKP!$Q$6:$AC$124,12,FALSE)</f>
        <v>776540.51889878465</v>
      </c>
      <c r="L7" s="133">
        <f>VLOOKUP($A7,IKP!$Q$6:$AC$124,13,FALSE)</f>
        <v>806049.05861693854</v>
      </c>
      <c r="M7" s="172">
        <f>VLOOKUP($A7,IKP!$Q$6:$AD$124,14,FALSE)</f>
        <v>975319.36092649563</v>
      </c>
      <c r="N7" s="132">
        <f>((-0.0000000006)*IKP!$J$5 + 0.0461)*J7</f>
        <v>20285.341141870402</v>
      </c>
      <c r="O7" s="132">
        <f>((-0.0000000006)*IKP!$K$5 + 0.0461)*K7</f>
        <v>20581.483696668256</v>
      </c>
      <c r="P7" s="132">
        <f>((-0.0000000006)*IKP!$L$5 + 0.0461)*L7</f>
        <v>20763.359379187881</v>
      </c>
      <c r="Q7" s="172">
        <f>((-0.0000000006)*IKP!$M$5 + 0.0461)*M7</f>
        <v>20957.56773393957</v>
      </c>
      <c r="R7" s="132">
        <f t="shared" ref="R7:R38" si="1">N7*$X$6*$X$5</f>
        <v>4868.4818740488963</v>
      </c>
      <c r="S7" s="132">
        <f t="shared" ref="S7:S38" si="2">O7*$X$6*$X$5</f>
        <v>4939.5560872003816</v>
      </c>
      <c r="T7" s="132">
        <f t="shared" ref="T7:T38" si="3">P7*$X$6*$X$5</f>
        <v>4983.2062510050919</v>
      </c>
      <c r="U7" s="172">
        <f t="shared" ref="U7:U70" si="4">Q7*$X$6*$X$5</f>
        <v>5029.8162561454974</v>
      </c>
    </row>
    <row r="8" spans="1:25" hidden="1" outlineLevel="1" x14ac:dyDescent="0.3">
      <c r="A8" s="98" t="s">
        <v>3</v>
      </c>
      <c r="B8" s="176" t="s">
        <v>51</v>
      </c>
      <c r="C8" s="176" t="s">
        <v>51</v>
      </c>
      <c r="D8" s="176" t="s">
        <v>437</v>
      </c>
      <c r="E8" s="180">
        <v>25</v>
      </c>
      <c r="F8" s="132">
        <f>VLOOKUP(A8,Iedz_sk!$B$5:$Y$123,15,FALSE)</f>
        <v>21629</v>
      </c>
      <c r="G8" s="132">
        <f>VLOOKUP(A8,Iedz_sk!$B$5:$Y$123,16,FALSE)</f>
        <v>21261</v>
      </c>
      <c r="H8" s="132">
        <f>VLOOKUP(A8,Iedz_sk!$B$5:$Y$123,17,FALSE)</f>
        <v>20893</v>
      </c>
      <c r="I8" s="172">
        <f>VLOOKUP(A8,Iedz_sk!$B$5:$Y$123,24,FALSE)</f>
        <v>18315</v>
      </c>
      <c r="J8" s="133">
        <f>VLOOKUP($A8,IKP!$Q$6:$AC$124,11,FALSE)</f>
        <v>249971.80159214966</v>
      </c>
      <c r="K8" s="133">
        <f>VLOOKUP($A8,IKP!$Q$6:$AC$124,12,FALSE)</f>
        <v>262720.36347334925</v>
      </c>
      <c r="L8" s="133">
        <f>VLOOKUP($A8,IKP!$Q$6:$AC$124,13,FALSE)</f>
        <v>272703.73728533654</v>
      </c>
      <c r="M8" s="172">
        <f>VLOOKUP($A8,IKP!$Q$6:$AD$124,14,FALSE)</f>
        <v>329971.52211525722</v>
      </c>
      <c r="N8" s="132">
        <f>((-0.0000000006)*IKP!$J$5 + 0.0461)*J8</f>
        <v>6862.9673124213568</v>
      </c>
      <c r="O8" s="132">
        <f>((-0.0000000006)*IKP!$K$5 + 0.0461)*K8</f>
        <v>6963.1587097057509</v>
      </c>
      <c r="P8" s="132">
        <f>((-0.0000000006)*IKP!$L$5 + 0.0461)*L8</f>
        <v>7024.6911658437512</v>
      </c>
      <c r="Q8" s="172">
        <f>((-0.0000000006)*IKP!$M$5 + 0.0461)*M8</f>
        <v>7090.3960303140302</v>
      </c>
      <c r="R8" s="132">
        <f t="shared" si="1"/>
        <v>1647.1121549811257</v>
      </c>
      <c r="S8" s="132">
        <f t="shared" si="2"/>
        <v>1671.1580903293802</v>
      </c>
      <c r="T8" s="132">
        <f t="shared" si="3"/>
        <v>1685.9258798025003</v>
      </c>
      <c r="U8" s="172">
        <f t="shared" si="4"/>
        <v>1701.6950472753674</v>
      </c>
    </row>
    <row r="9" spans="1:25" hidden="1" outlineLevel="1" x14ac:dyDescent="0.3">
      <c r="A9" s="98" t="s">
        <v>4</v>
      </c>
      <c r="B9" s="176" t="s">
        <v>4</v>
      </c>
      <c r="C9" s="176" t="s">
        <v>4</v>
      </c>
      <c r="D9" s="176" t="s">
        <v>440</v>
      </c>
      <c r="E9" s="180">
        <v>101</v>
      </c>
      <c r="F9" s="132">
        <f>VLOOKUP(A9,Iedz_sk!$B$5:$Y$123,15,FALSE)</f>
        <v>50248</v>
      </c>
      <c r="G9" s="132">
        <f>VLOOKUP(A9,Iedz_sk!$B$5:$Y$123,16,FALSE)</f>
        <v>49821</v>
      </c>
      <c r="H9" s="132">
        <f>VLOOKUP(A9,Iedz_sk!$B$5:$Y$123,17,FALSE)</f>
        <v>49394</v>
      </c>
      <c r="I9" s="172">
        <f>VLOOKUP(A9,Iedz_sk!$B$5:$Y$123,24,FALSE)</f>
        <v>46404</v>
      </c>
      <c r="J9" s="133">
        <f>VLOOKUP($A9,IKP!$Q$6:$AC$124,11,FALSE)</f>
        <v>449115.7015194947</v>
      </c>
      <c r="K9" s="133">
        <f>VLOOKUP($A9,IKP!$Q$6:$AC$124,12,FALSE)</f>
        <v>472020.60229698889</v>
      </c>
      <c r="L9" s="133">
        <f>VLOOKUP($A9,IKP!$Q$6:$AC$124,13,FALSE)</f>
        <v>489957.38518427446</v>
      </c>
      <c r="M9" s="172">
        <f>VLOOKUP($A9,IKP!$Q$6:$AD$124,14,FALSE)</f>
        <v>592848.43607297214</v>
      </c>
      <c r="N9" s="132">
        <f>((-0.0000000006)*IKP!$J$5 + 0.0461)*J9</f>
        <v>12330.456313038299</v>
      </c>
      <c r="O9" s="132">
        <f>((-0.0000000006)*IKP!$K$5 + 0.0461)*K9</f>
        <v>12510.466735777967</v>
      </c>
      <c r="P9" s="132">
        <f>((-0.0000000006)*IKP!$L$5 + 0.0461)*L9</f>
        <v>12621.019974297744</v>
      </c>
      <c r="Q9" s="172">
        <f>((-0.0000000006)*IKP!$M$5 + 0.0461)*M9</f>
        <v>12739.069634746884</v>
      </c>
      <c r="R9" s="132">
        <f t="shared" si="1"/>
        <v>2959.3095151291923</v>
      </c>
      <c r="S9" s="132">
        <f t="shared" si="2"/>
        <v>3002.5120165867124</v>
      </c>
      <c r="T9" s="132">
        <f t="shared" si="3"/>
        <v>3029.0447938314587</v>
      </c>
      <c r="U9" s="172">
        <f t="shared" si="4"/>
        <v>3057.3767123392522</v>
      </c>
    </row>
    <row r="10" spans="1:25" hidden="1" outlineLevel="1" x14ac:dyDescent="0.3">
      <c r="A10" s="98" t="s">
        <v>5</v>
      </c>
      <c r="B10" s="176" t="s">
        <v>5</v>
      </c>
      <c r="C10" s="176" t="s">
        <v>5</v>
      </c>
      <c r="D10" s="176" t="s">
        <v>438</v>
      </c>
      <c r="E10" s="180">
        <v>60</v>
      </c>
      <c r="F10" s="132">
        <f>VLOOKUP(A10,Iedz_sk!$B$5:$Y$123,15,FALSE)</f>
        <v>55336</v>
      </c>
      <c r="G10" s="132">
        <f>VLOOKUP(A10,Iedz_sk!$B$5:$Y$123,16,FALSE)</f>
        <v>54885</v>
      </c>
      <c r="H10" s="132">
        <f>VLOOKUP(A10,Iedz_sk!$B$5:$Y$123,17,FALSE)</f>
        <v>54435</v>
      </c>
      <c r="I10" s="172">
        <f>VLOOKUP(A10,Iedz_sk!$B$5:$Y$123,24,FALSE)</f>
        <v>51280</v>
      </c>
      <c r="J10" s="133">
        <f>VLOOKUP($A10,IKP!$Q$6:$AC$124,11,FALSE)</f>
        <v>621956.14901143278</v>
      </c>
      <c r="K10" s="133">
        <f>VLOOKUP($A10,IKP!$Q$6:$AC$124,12,FALSE)</f>
        <v>653675.91261101584</v>
      </c>
      <c r="L10" s="133">
        <f>VLOOKUP($A10,IKP!$Q$6:$AC$124,13,FALSE)</f>
        <v>678515.59729023441</v>
      </c>
      <c r="M10" s="172">
        <f>VLOOKUP($A10,IKP!$Q$6:$AD$124,14,FALSE)</f>
        <v>821003.87272118358</v>
      </c>
      <c r="N10" s="132">
        <f>((-0.0000000006)*IKP!$J$5 + 0.0461)*J10</f>
        <v>17075.784921490042</v>
      </c>
      <c r="O10" s="132">
        <f>((-0.0000000006)*IKP!$K$5 + 0.0461)*K10</f>
        <v>17325.071661923066</v>
      </c>
      <c r="P10" s="132">
        <f>((-0.0000000006)*IKP!$L$5 + 0.0461)*L10</f>
        <v>17478.170888376</v>
      </c>
      <c r="Q10" s="172">
        <f>((-0.0000000006)*IKP!$M$5 + 0.0461)*M10</f>
        <v>17641.651505857521</v>
      </c>
      <c r="R10" s="132">
        <f t="shared" si="1"/>
        <v>4098.1883811576099</v>
      </c>
      <c r="S10" s="132">
        <f t="shared" si="2"/>
        <v>4158.0171988615357</v>
      </c>
      <c r="T10" s="132">
        <f t="shared" si="3"/>
        <v>4194.76101321024</v>
      </c>
      <c r="U10" s="172">
        <f t="shared" si="4"/>
        <v>4233.9963614058051</v>
      </c>
    </row>
    <row r="11" spans="1:25" s="115" customFormat="1" hidden="1" outlineLevel="1" x14ac:dyDescent="0.3">
      <c r="A11" s="131" t="s">
        <v>6</v>
      </c>
      <c r="B11" s="176" t="s">
        <v>6</v>
      </c>
      <c r="C11" s="176" t="s">
        <v>6</v>
      </c>
      <c r="D11" s="176" t="s">
        <v>176</v>
      </c>
      <c r="E11" s="180">
        <v>68</v>
      </c>
      <c r="F11" s="132">
        <f>VLOOKUP(A11,Iedz_sk!$B$5:$Y$123,15,FALSE)</f>
        <v>67964</v>
      </c>
      <c r="G11" s="132">
        <f>VLOOKUP(A11,Iedz_sk!$B$5:$Y$123,16,FALSE)</f>
        <v>66775</v>
      </c>
      <c r="H11" s="132">
        <f>VLOOKUP(A11,Iedz_sk!$B$5:$Y$123,17,FALSE)</f>
        <v>65587</v>
      </c>
      <c r="I11" s="172">
        <f>VLOOKUP(A11,Iedz_sk!$B$5:$Y$123,24,FALSE)</f>
        <v>57267</v>
      </c>
      <c r="J11" s="133">
        <f>VLOOKUP($A11,IKP!$Q$6:$AC$124,11,FALSE)</f>
        <v>956530.2654413135</v>
      </c>
      <c r="K11" s="133">
        <f>VLOOKUP($A11,IKP!$Q$6:$AC$124,12,FALSE)</f>
        <v>1005313.3089788205</v>
      </c>
      <c r="L11" s="133">
        <f>VLOOKUP($A11,IKP!$Q$6:$AC$124,13,FALSE)</f>
        <v>1043515.2147200156</v>
      </c>
      <c r="M11" s="172">
        <f>VLOOKUP($A11,IKP!$Q$6:$AD$124,14,FALSE)</f>
        <v>1262653.409811219</v>
      </c>
      <c r="N11" s="132">
        <f>((-0.0000000006)*IKP!$J$5 + 0.0461)*J11</f>
        <v>26261.50591087959</v>
      </c>
      <c r="O11" s="132">
        <f>((-0.0000000006)*IKP!$K$5 + 0.0461)*K11</f>
        <v>26644.893569923403</v>
      </c>
      <c r="P11" s="132">
        <f>((-0.0000000006)*IKP!$L$5 + 0.0461)*L11</f>
        <v>26880.350754406027</v>
      </c>
      <c r="Q11" s="172">
        <f>((-0.0000000006)*IKP!$M$5 + 0.0461)*M11</f>
        <v>27131.773879143453</v>
      </c>
      <c r="R11" s="132">
        <f t="shared" si="1"/>
        <v>6302.7614186111014</v>
      </c>
      <c r="S11" s="132">
        <f t="shared" si="2"/>
        <v>6394.7744567816171</v>
      </c>
      <c r="T11" s="132">
        <f t="shared" si="3"/>
        <v>6451.2841810574464</v>
      </c>
      <c r="U11" s="172">
        <f t="shared" si="4"/>
        <v>6511.6257309944294</v>
      </c>
      <c r="V11" s="175"/>
      <c r="W11" s="175"/>
      <c r="Y11" s="108"/>
    </row>
    <row r="12" spans="1:25" hidden="1" outlineLevel="1" x14ac:dyDescent="0.3">
      <c r="A12" s="98" t="s">
        <v>7</v>
      </c>
      <c r="B12" s="176" t="s">
        <v>7</v>
      </c>
      <c r="C12" s="176" t="s">
        <v>7</v>
      </c>
      <c r="D12" s="176" t="s">
        <v>437</v>
      </c>
      <c r="E12" s="180">
        <v>18</v>
      </c>
      <c r="F12" s="132">
        <f>VLOOKUP(A12,Iedz_sk!$B$5:$Y$123,15,FALSE)</f>
        <v>26839</v>
      </c>
      <c r="G12" s="132">
        <f>VLOOKUP(A12,Iedz_sk!$B$5:$Y$123,16,FALSE)</f>
        <v>26264</v>
      </c>
      <c r="H12" s="132">
        <f>VLOOKUP(A12,Iedz_sk!$B$5:$Y$123,17,FALSE)</f>
        <v>25689</v>
      </c>
      <c r="I12" s="172">
        <f>VLOOKUP(A12,Iedz_sk!$B$5:$Y$123,24,FALSE)</f>
        <v>21662</v>
      </c>
      <c r="J12" s="133">
        <f>VLOOKUP($A12,IKP!$Q$6:$AC$124,11,FALSE)</f>
        <v>301295.35124424868</v>
      </c>
      <c r="K12" s="133">
        <f>VLOOKUP($A12,IKP!$Q$6:$AC$124,12,FALSE)</f>
        <v>316661.41415770532</v>
      </c>
      <c r="L12" s="133">
        <f>VLOOKUP($A12,IKP!$Q$6:$AC$124,13,FALSE)</f>
        <v>328694.54789569811</v>
      </c>
      <c r="M12" s="172">
        <f>VLOOKUP($A12,IKP!$Q$6:$AD$124,14,FALSE)</f>
        <v>397720.40295379469</v>
      </c>
      <c r="N12" s="132">
        <f>((-0.0000000006)*IKP!$J$5 + 0.0461)*J12</f>
        <v>8272.0536228624296</v>
      </c>
      <c r="O12" s="132">
        <f>((-0.0000000006)*IKP!$K$5 + 0.0461)*K12</f>
        <v>8392.8160530412806</v>
      </c>
      <c r="P12" s="132">
        <f>((-0.0000000006)*IKP!$L$5 + 0.0461)*L12</f>
        <v>8466.9821904493256</v>
      </c>
      <c r="Q12" s="172">
        <f>((-0.0000000006)*IKP!$M$5 + 0.0461)*M12</f>
        <v>8546.1774040411692</v>
      </c>
      <c r="R12" s="132">
        <f t="shared" si="1"/>
        <v>1985.2928694869831</v>
      </c>
      <c r="S12" s="132">
        <f t="shared" si="2"/>
        <v>2014.2758527299075</v>
      </c>
      <c r="T12" s="132">
        <f t="shared" si="3"/>
        <v>2032.075725707838</v>
      </c>
      <c r="U12" s="172">
        <f t="shared" si="4"/>
        <v>2051.0825769698804</v>
      </c>
      <c r="V12" s="175"/>
      <c r="W12" s="175"/>
    </row>
    <row r="13" spans="1:25" hidden="1" outlineLevel="1" x14ac:dyDescent="0.3">
      <c r="A13" s="98" t="s">
        <v>8</v>
      </c>
      <c r="B13" s="176" t="s">
        <v>442</v>
      </c>
      <c r="C13" s="176" t="s">
        <v>442</v>
      </c>
      <c r="D13" s="176" t="s">
        <v>439</v>
      </c>
      <c r="E13" s="180">
        <v>19</v>
      </c>
      <c r="F13" s="132">
        <f>VLOOKUP(A13,Iedz_sk!$B$5:$Y$123,15,FALSE)</f>
        <v>22971</v>
      </c>
      <c r="G13" s="132">
        <f>VLOOKUP(A13,Iedz_sk!$B$5:$Y$123,16,FALSE)</f>
        <v>22974</v>
      </c>
      <c r="H13" s="132">
        <f>VLOOKUP(A13,Iedz_sk!$B$5:$Y$123,17,FALSE)</f>
        <v>22977</v>
      </c>
      <c r="I13" s="172">
        <f>VLOOKUP(A13,Iedz_sk!$B$5:$Y$123,24,FALSE)</f>
        <v>23000</v>
      </c>
      <c r="J13" s="133">
        <f>VLOOKUP($A13,IKP!$Q$6:$AC$124,11,FALSE)</f>
        <v>416243.04791054904</v>
      </c>
      <c r="K13" s="133">
        <f>VLOOKUP($A13,IKP!$Q$6:$AC$124,12,FALSE)</f>
        <v>437471.44335398701</v>
      </c>
      <c r="L13" s="133">
        <f>VLOOKUP($A13,IKP!$Q$6:$AC$124,13,FALSE)</f>
        <v>454095.3582014385</v>
      </c>
      <c r="M13" s="172">
        <f>VLOOKUP($A13,IKP!$Q$6:$AD$124,14,FALSE)</f>
        <v>549455.38342374063</v>
      </c>
      <c r="N13" s="132">
        <f>((-0.0000000006)*IKP!$J$5 + 0.0461)*J13</f>
        <v>11427.938726039281</v>
      </c>
      <c r="O13" s="132">
        <f>((-0.0000000006)*IKP!$K$5 + 0.0461)*K13</f>
        <v>11594.773434252158</v>
      </c>
      <c r="P13" s="132">
        <f>((-0.0000000006)*IKP!$L$5 + 0.0461)*L13</f>
        <v>11697.234819597101</v>
      </c>
      <c r="Q13" s="172">
        <f>((-0.0000000006)*IKP!$M$5 + 0.0461)*M13</f>
        <v>11806.643932446883</v>
      </c>
      <c r="R13" s="132">
        <f t="shared" si="1"/>
        <v>2742.7052942494274</v>
      </c>
      <c r="S13" s="132">
        <f t="shared" si="2"/>
        <v>2782.745624220518</v>
      </c>
      <c r="T13" s="132">
        <f t="shared" si="3"/>
        <v>2807.3363567033043</v>
      </c>
      <c r="U13" s="172">
        <f t="shared" si="4"/>
        <v>2833.594543787252</v>
      </c>
      <c r="V13" s="175"/>
      <c r="W13" s="175"/>
    </row>
    <row r="14" spans="1:25" hidden="1" outlineLevel="1" x14ac:dyDescent="0.3">
      <c r="A14" s="98" t="s">
        <v>9</v>
      </c>
      <c r="B14" s="176" t="s">
        <v>9</v>
      </c>
      <c r="C14" s="176" t="s">
        <v>9</v>
      </c>
      <c r="D14" s="176" t="s">
        <v>440</v>
      </c>
      <c r="E14" s="180">
        <v>58</v>
      </c>
      <c r="F14" s="132">
        <f>VLOOKUP(A14,Iedz_sk!$B$5:$Y$123,15,FALSE)</f>
        <v>33372</v>
      </c>
      <c r="G14" s="132">
        <f>VLOOKUP(A14,Iedz_sk!$B$5:$Y$123,16,FALSE)</f>
        <v>32851</v>
      </c>
      <c r="H14" s="132">
        <f>VLOOKUP(A14,Iedz_sk!$B$5:$Y$123,17,FALSE)</f>
        <v>32329</v>
      </c>
      <c r="I14" s="172">
        <f>VLOOKUP(A14,Iedz_sk!$B$5:$Y$123,24,FALSE)</f>
        <v>28680</v>
      </c>
      <c r="J14" s="133">
        <f>VLOOKUP($A14,IKP!$Q$6:$AC$124,11,FALSE)</f>
        <v>501127.82880555547</v>
      </c>
      <c r="K14" s="133">
        <f>VLOOKUP($A14,IKP!$Q$6:$AC$124,12,FALSE)</f>
        <v>526685.34807463875</v>
      </c>
      <c r="L14" s="133">
        <f>VLOOKUP($A14,IKP!$Q$6:$AC$124,13,FALSE)</f>
        <v>546699.391301475</v>
      </c>
      <c r="M14" s="172">
        <f>VLOOKUP($A14,IKP!$Q$6:$AD$124,14,FALSE)</f>
        <v>661506.26347478468</v>
      </c>
      <c r="N14" s="132">
        <f>((-0.0000000006)*IKP!$J$5 + 0.0461)*J14</f>
        <v>13758.447499004709</v>
      </c>
      <c r="O14" s="132">
        <f>((-0.0000000006)*IKP!$K$5 + 0.0461)*K14</f>
        <v>13959.304943989817</v>
      </c>
      <c r="P14" s="132">
        <f>((-0.0000000006)*IKP!$L$5 + 0.0461)*L14</f>
        <v>14082.661362390239</v>
      </c>
      <c r="Q14" s="172">
        <f>((-0.0000000006)*IKP!$M$5 + 0.0461)*M14</f>
        <v>14214.382363976156</v>
      </c>
      <c r="R14" s="132">
        <f t="shared" si="1"/>
        <v>3302.0273997611303</v>
      </c>
      <c r="S14" s="132">
        <f t="shared" si="2"/>
        <v>3350.2331865575566</v>
      </c>
      <c r="T14" s="132">
        <f t="shared" si="3"/>
        <v>3379.8387269736577</v>
      </c>
      <c r="U14" s="172">
        <f t="shared" si="4"/>
        <v>3411.4517673542773</v>
      </c>
      <c r="V14" s="175"/>
      <c r="W14" s="175"/>
    </row>
    <row r="15" spans="1:25" hidden="1" outlineLevel="1" x14ac:dyDescent="0.3">
      <c r="A15" s="98" t="s">
        <v>10</v>
      </c>
      <c r="B15" s="176" t="s">
        <v>82</v>
      </c>
      <c r="C15" s="176" t="s">
        <v>82</v>
      </c>
      <c r="D15" s="176" t="s">
        <v>437</v>
      </c>
      <c r="E15" s="180">
        <v>393</v>
      </c>
      <c r="F15" s="132">
        <f>VLOOKUP(A15,Iedz_sk!$B$5:$Y$123,15,FALSE)</f>
        <v>3042</v>
      </c>
      <c r="G15" s="132">
        <f>VLOOKUP(A15,Iedz_sk!$B$5:$Y$123,16,FALSE)</f>
        <v>2970</v>
      </c>
      <c r="H15" s="132">
        <f>VLOOKUP(A15,Iedz_sk!$B$5:$Y$123,17,FALSE)</f>
        <v>2897</v>
      </c>
      <c r="I15" s="172">
        <f>VLOOKUP(A15,Iedz_sk!$B$5:$Y$123,24,FALSE)</f>
        <v>2391</v>
      </c>
      <c r="J15" s="133">
        <f>VLOOKUP($A15,IKP!$Q$6:$AC$124,11,FALSE)</f>
        <v>20003.89150818995</v>
      </c>
      <c r="K15" s="133">
        <f>VLOOKUP($A15,IKP!$Q$6:$AC$124,12,FALSE)</f>
        <v>21008.52163844333</v>
      </c>
      <c r="L15" s="133">
        <f>VLOOKUP($A15,IKP!$Q$6:$AC$124,13,FALSE)</f>
        <v>21782.389328454396</v>
      </c>
      <c r="M15" s="172">
        <f>VLOOKUP($A15,IKP!$Q$6:$AD$124,14,FALSE)</f>
        <v>26157.007071792112</v>
      </c>
      <c r="N15" s="132">
        <f>((-0.0000000006)*IKP!$J$5 + 0.0461)*J15</f>
        <v>549.20616112502444</v>
      </c>
      <c r="O15" s="132">
        <f>((-0.0000000006)*IKP!$K$5 + 0.0461)*K15</f>
        <v>556.81131257116215</v>
      </c>
      <c r="P15" s="132">
        <f>((-0.0000000006)*IKP!$L$5 + 0.0461)*L15</f>
        <v>561.10180010646479</v>
      </c>
      <c r="Q15" s="172">
        <f>((-0.0000000006)*IKP!$M$5 + 0.0461)*M15</f>
        <v>562.0592283777429</v>
      </c>
      <c r="R15" s="132">
        <f t="shared" si="1"/>
        <v>131.80947867000586</v>
      </c>
      <c r="S15" s="132">
        <f t="shared" si="2"/>
        <v>133.63471501707892</v>
      </c>
      <c r="T15" s="132">
        <f t="shared" si="3"/>
        <v>134.66443202555155</v>
      </c>
      <c r="U15" s="172">
        <f t="shared" si="4"/>
        <v>134.8942148106583</v>
      </c>
      <c r="V15" s="175"/>
      <c r="W15" s="175"/>
    </row>
    <row r="16" spans="1:25" hidden="1" outlineLevel="1" x14ac:dyDescent="0.3">
      <c r="A16" s="98" t="s">
        <v>11</v>
      </c>
      <c r="B16" s="176" t="s">
        <v>11</v>
      </c>
      <c r="C16" s="176" t="s">
        <v>11</v>
      </c>
      <c r="D16" s="176" t="s">
        <v>438</v>
      </c>
      <c r="E16" s="180">
        <v>102</v>
      </c>
      <c r="F16" s="132">
        <f>VLOOKUP(A16,Iedz_sk!$B$5:$Y$123,15,FALSE)</f>
        <v>8017</v>
      </c>
      <c r="G16" s="132">
        <f>VLOOKUP(A16,Iedz_sk!$B$5:$Y$123,16,FALSE)</f>
        <v>7873</v>
      </c>
      <c r="H16" s="132">
        <f>VLOOKUP(A16,Iedz_sk!$B$5:$Y$123,17,FALSE)</f>
        <v>7729</v>
      </c>
      <c r="I16" s="172">
        <f>VLOOKUP(A16,Iedz_sk!$B$5:$Y$123,24,FALSE)</f>
        <v>6723</v>
      </c>
      <c r="J16" s="133">
        <f>VLOOKUP($A16,IKP!$Q$6:$AC$124,11,FALSE)</f>
        <v>68418.691922067432</v>
      </c>
      <c r="K16" s="133">
        <f>VLOOKUP($A16,IKP!$Q$6:$AC$124,12,FALSE)</f>
        <v>71784.120049151752</v>
      </c>
      <c r="L16" s="133">
        <f>VLOOKUP($A16,IKP!$Q$6:$AC$124,13,FALSE)</f>
        <v>74379.467362873969</v>
      </c>
      <c r="M16" s="172">
        <f>VLOOKUP($A16,IKP!$Q$6:$AD$124,14,FALSE)</f>
        <v>88735.363034668655</v>
      </c>
      <c r="N16" s="132">
        <f>((-0.0000000006)*IKP!$J$5 + 0.0461)*J16</f>
        <v>1878.4328601427428</v>
      </c>
      <c r="O16" s="132">
        <f>((-0.0000000006)*IKP!$K$5 + 0.0461)*K16</f>
        <v>1902.5712896043524</v>
      </c>
      <c r="P16" s="132">
        <f>((-0.0000000006)*IKP!$L$5 + 0.0461)*L16</f>
        <v>1915.9722287100433</v>
      </c>
      <c r="Q16" s="172">
        <f>((-0.0000000006)*IKP!$M$5 + 0.0461)*M16</f>
        <v>1906.7368655823693</v>
      </c>
      <c r="R16" s="132">
        <f t="shared" si="1"/>
        <v>450.82388643425833</v>
      </c>
      <c r="S16" s="132">
        <f t="shared" si="2"/>
        <v>456.61710950504454</v>
      </c>
      <c r="T16" s="132">
        <f t="shared" si="3"/>
        <v>459.83333489041041</v>
      </c>
      <c r="U16" s="172">
        <f t="shared" si="4"/>
        <v>457.61684773976862</v>
      </c>
      <c r="V16" s="175"/>
      <c r="W16" s="175"/>
    </row>
    <row r="17" spans="1:23" hidden="1" outlineLevel="1" x14ac:dyDescent="0.3">
      <c r="A17" s="98" t="s">
        <v>12</v>
      </c>
      <c r="B17" s="176" t="s">
        <v>441</v>
      </c>
      <c r="C17" s="176" t="s">
        <v>441</v>
      </c>
      <c r="D17" s="176" t="s">
        <v>176</v>
      </c>
      <c r="E17" s="180">
        <v>640</v>
      </c>
      <c r="F17" s="132">
        <f>VLOOKUP(A17,Iedz_sk!$B$5:$Y$123,15,FALSE)</f>
        <v>8083</v>
      </c>
      <c r="G17" s="132">
        <f>VLOOKUP(A17,Iedz_sk!$B$5:$Y$123,16,FALSE)</f>
        <v>7946</v>
      </c>
      <c r="H17" s="132">
        <f>VLOOKUP(A17,Iedz_sk!$B$5:$Y$123,17,FALSE)</f>
        <v>7809</v>
      </c>
      <c r="I17" s="172">
        <f>VLOOKUP(A17,Iedz_sk!$B$5:$Y$123,24,FALSE)</f>
        <v>6850</v>
      </c>
      <c r="J17" s="133">
        <f>VLOOKUP($A17,IKP!$Q$6:$AC$124,11,FALSE)</f>
        <v>77444.56019057885</v>
      </c>
      <c r="K17" s="133">
        <f>VLOOKUP($A17,IKP!$Q$6:$AC$124,12,FALSE)</f>
        <v>81467.568075940566</v>
      </c>
      <c r="L17" s="133">
        <f>VLOOKUP($A17,IKP!$Q$6:$AC$124,13,FALSE)</f>
        <v>84641.621598007841</v>
      </c>
      <c r="M17" s="172">
        <f>VLOOKUP($A17,IKP!$Q$6:$AD$124,14,FALSE)</f>
        <v>103207.59680201909</v>
      </c>
      <c r="N17" s="132">
        <f>((-0.0000000006)*IKP!$J$5 + 0.0461)*J17</f>
        <v>2126.2377665300733</v>
      </c>
      <c r="O17" s="132">
        <f>((-0.0000000006)*IKP!$K$5 + 0.0461)*K17</f>
        <v>2159.2220667891875</v>
      </c>
      <c r="P17" s="132">
        <f>((-0.0000000006)*IKP!$L$5 + 0.0461)*L17</f>
        <v>2180.3194097046439</v>
      </c>
      <c r="Q17" s="172">
        <f>((-0.0000000006)*IKP!$M$5 + 0.0461)*M17</f>
        <v>2217.7148196676185</v>
      </c>
      <c r="R17" s="132">
        <f t="shared" si="1"/>
        <v>510.29706396721758</v>
      </c>
      <c r="S17" s="132">
        <f t="shared" si="2"/>
        <v>518.213296029405</v>
      </c>
      <c r="T17" s="132">
        <f t="shared" si="3"/>
        <v>523.27665832911453</v>
      </c>
      <c r="U17" s="172">
        <f t="shared" si="4"/>
        <v>532.25155672022845</v>
      </c>
      <c r="V17" s="175"/>
      <c r="W17" s="175"/>
    </row>
    <row r="18" spans="1:23" hidden="1" outlineLevel="1" x14ac:dyDescent="0.3">
      <c r="A18" s="98" t="s">
        <v>13</v>
      </c>
      <c r="B18" s="176" t="s">
        <v>51</v>
      </c>
      <c r="C18" s="176" t="s">
        <v>51</v>
      </c>
      <c r="D18" s="176" t="s">
        <v>437</v>
      </c>
      <c r="E18" s="180">
        <v>285</v>
      </c>
      <c r="F18" s="132">
        <f>VLOOKUP(A18,Iedz_sk!$B$5:$Y$123,15,FALSE)</f>
        <v>2546</v>
      </c>
      <c r="G18" s="132">
        <f>VLOOKUP(A18,Iedz_sk!$B$5:$Y$123,16,FALSE)</f>
        <v>2478</v>
      </c>
      <c r="H18" s="132">
        <f>VLOOKUP(A18,Iedz_sk!$B$5:$Y$123,17,FALSE)</f>
        <v>2410</v>
      </c>
      <c r="I18" s="172">
        <f>VLOOKUP(A18,Iedz_sk!$B$5:$Y$123,24,FALSE)</f>
        <v>1934</v>
      </c>
      <c r="J18" s="133">
        <f>VLOOKUP($A18,IKP!$Q$6:$AC$124,11,FALSE)</f>
        <v>21728.076541547172</v>
      </c>
      <c r="K18" s="133">
        <f>VLOOKUP($A18,IKP!$Q$6:$AC$124,12,FALSE)</f>
        <v>22593.807885405568</v>
      </c>
      <c r="L18" s="133">
        <f>VLOOKUP($A18,IKP!$Q$6:$AC$124,13,FALSE)</f>
        <v>23192.459094905713</v>
      </c>
      <c r="M18" s="172">
        <f>VLOOKUP($A18,IKP!$Q$6:$AD$124,14,FALSE)</f>
        <v>25526.43047881142</v>
      </c>
      <c r="N18" s="132">
        <f>((-0.0000000006)*IKP!$J$5 + 0.0461)*J18</f>
        <v>596.54360258493489</v>
      </c>
      <c r="O18" s="132">
        <f>((-0.0000000006)*IKP!$K$5 + 0.0461)*K18</f>
        <v>598.82784905875587</v>
      </c>
      <c r="P18" s="132">
        <f>((-0.0000000006)*IKP!$L$5 + 0.0461)*L18</f>
        <v>597.42438493869895</v>
      </c>
      <c r="Q18" s="172">
        <f>((-0.0000000006)*IKP!$M$5 + 0.0461)*M18</f>
        <v>548.50945977038555</v>
      </c>
      <c r="R18" s="132">
        <f t="shared" si="1"/>
        <v>143.17046462038437</v>
      </c>
      <c r="S18" s="132">
        <f t="shared" si="2"/>
        <v>143.71868377410141</v>
      </c>
      <c r="T18" s="132">
        <f t="shared" si="3"/>
        <v>143.38185238528774</v>
      </c>
      <c r="U18" s="172">
        <f t="shared" si="4"/>
        <v>131.64227034489252</v>
      </c>
      <c r="V18" s="175"/>
      <c r="W18" s="175"/>
    </row>
    <row r="19" spans="1:23" hidden="1" outlineLevel="1" x14ac:dyDescent="0.3">
      <c r="A19" s="98" t="s">
        <v>14</v>
      </c>
      <c r="B19" s="176" t="s">
        <v>63</v>
      </c>
      <c r="C19" s="176" t="s">
        <v>63</v>
      </c>
      <c r="D19" s="176" t="s">
        <v>439</v>
      </c>
      <c r="E19" s="180">
        <v>631</v>
      </c>
      <c r="F19" s="132">
        <f>VLOOKUP(A19,Iedz_sk!$B$5:$Y$123,15,FALSE)</f>
        <v>4520</v>
      </c>
      <c r="G19" s="132">
        <f>VLOOKUP(A19,Iedz_sk!$B$5:$Y$123,16,FALSE)</f>
        <v>4432</v>
      </c>
      <c r="H19" s="132">
        <f>VLOOKUP(A19,Iedz_sk!$B$5:$Y$123,17,FALSE)</f>
        <v>4345</v>
      </c>
      <c r="I19" s="172">
        <f>VLOOKUP(A19,Iedz_sk!$B$5:$Y$123,24,FALSE)</f>
        <v>3731</v>
      </c>
      <c r="J19" s="133">
        <f>VLOOKUP($A19,IKP!$Q$6:$AC$124,11,FALSE)</f>
        <v>58638.501655615051</v>
      </c>
      <c r="K19" s="133">
        <f>VLOOKUP($A19,IKP!$Q$6:$AC$124,12,FALSE)</f>
        <v>60616.181628571212</v>
      </c>
      <c r="L19" s="133">
        <f>VLOOKUP($A19,IKP!$Q$6:$AC$124,13,FALSE)</f>
        <v>61875.937753305872</v>
      </c>
      <c r="M19" s="172">
        <f>VLOOKUP($A19,IKP!$Q$6:$AD$124,14,FALSE)</f>
        <v>65720.129079877763</v>
      </c>
      <c r="N19" s="132">
        <f>((-0.0000000006)*IKP!$J$5 + 0.0461)*J19</f>
        <v>1609.9180689526627</v>
      </c>
      <c r="O19" s="132">
        <f>((-0.0000000006)*IKP!$K$5 + 0.0461)*K19</f>
        <v>1606.5754762055506</v>
      </c>
      <c r="P19" s="132">
        <f>((-0.0000000006)*IKP!$L$5 + 0.0461)*L19</f>
        <v>1593.8885093428366</v>
      </c>
      <c r="Q19" s="172">
        <f>((-0.0000000006)*IKP!$M$5 + 0.0461)*M19</f>
        <v>1412.1877529083438</v>
      </c>
      <c r="R19" s="132">
        <f t="shared" si="1"/>
        <v>386.38033654863904</v>
      </c>
      <c r="S19" s="132">
        <f t="shared" si="2"/>
        <v>385.57811428933218</v>
      </c>
      <c r="T19" s="132">
        <f t="shared" si="3"/>
        <v>382.53324224228083</v>
      </c>
      <c r="U19" s="172">
        <f t="shared" si="4"/>
        <v>338.92506069800248</v>
      </c>
      <c r="V19" s="175"/>
      <c r="W19" s="175"/>
    </row>
    <row r="20" spans="1:23" hidden="1" outlineLevel="1" x14ac:dyDescent="0.3">
      <c r="A20" s="98" t="s">
        <v>15</v>
      </c>
      <c r="B20" s="176" t="s">
        <v>59</v>
      </c>
      <c r="C20" s="176" t="s">
        <v>59</v>
      </c>
      <c r="D20" s="176" t="s">
        <v>440</v>
      </c>
      <c r="E20" s="180">
        <v>191</v>
      </c>
      <c r="F20" s="132">
        <f>VLOOKUP(A20,Iedz_sk!$B$5:$Y$123,15,FALSE)</f>
        <v>1303</v>
      </c>
      <c r="G20" s="132">
        <f>VLOOKUP(A20,Iedz_sk!$B$5:$Y$123,16,FALSE)</f>
        <v>1278</v>
      </c>
      <c r="H20" s="132">
        <f>VLOOKUP(A20,Iedz_sk!$B$5:$Y$123,17,FALSE)</f>
        <v>1254</v>
      </c>
      <c r="I20" s="172">
        <f>VLOOKUP(A20,Iedz_sk!$B$5:$Y$123,24,FALSE)</f>
        <v>1081</v>
      </c>
      <c r="J20" s="133">
        <f>VLOOKUP($A20,IKP!$Q$6:$AC$124,11,FALSE)</f>
        <v>12484.258558496133</v>
      </c>
      <c r="K20" s="133">
        <f>VLOOKUP($A20,IKP!$Q$6:$AC$124,12,FALSE)</f>
        <v>13102.888497489561</v>
      </c>
      <c r="L20" s="133">
        <f>VLOOKUP($A20,IKP!$Q$6:$AC$124,13,FALSE)</f>
        <v>13592.085220118046</v>
      </c>
      <c r="M20" s="172">
        <f>VLOOKUP($A20,IKP!$Q$6:$AD$124,14,FALSE)</f>
        <v>16287.213451530313</v>
      </c>
      <c r="N20" s="132">
        <f>((-0.0000000006)*IKP!$J$5 + 0.0461)*J20</f>
        <v>342.75489419629906</v>
      </c>
      <c r="O20" s="132">
        <f>((-0.0000000006)*IKP!$K$5 + 0.0461)*K20</f>
        <v>347.27986425328243</v>
      </c>
      <c r="P20" s="132">
        <f>((-0.0000000006)*IKP!$L$5 + 0.0461)*L20</f>
        <v>350.12428477008882</v>
      </c>
      <c r="Q20" s="172">
        <f>((-0.0000000006)*IKP!$M$5 + 0.0461)*M20</f>
        <v>349.97806132272927</v>
      </c>
      <c r="R20" s="132">
        <f t="shared" si="1"/>
        <v>82.261174607111769</v>
      </c>
      <c r="S20" s="132">
        <f t="shared" si="2"/>
        <v>83.347167420787784</v>
      </c>
      <c r="T20" s="132">
        <f t="shared" si="3"/>
        <v>84.029828344821311</v>
      </c>
      <c r="U20" s="172">
        <f t="shared" si="4"/>
        <v>83.994734717455017</v>
      </c>
      <c r="V20" s="175"/>
      <c r="W20" s="175"/>
    </row>
    <row r="21" spans="1:23" hidden="1" outlineLevel="1" x14ac:dyDescent="0.3">
      <c r="A21" s="98" t="s">
        <v>16</v>
      </c>
      <c r="B21" s="176" t="s">
        <v>16</v>
      </c>
      <c r="C21" s="176" t="s">
        <v>16</v>
      </c>
      <c r="D21" s="176" t="s">
        <v>439</v>
      </c>
      <c r="E21" s="180">
        <v>1698</v>
      </c>
      <c r="F21" s="132">
        <f>VLOOKUP(A21,Iedz_sk!$B$5:$Y$123,15,FALSE)</f>
        <v>13861</v>
      </c>
      <c r="G21" s="132">
        <f>VLOOKUP(A21,Iedz_sk!$B$5:$Y$123,16,FALSE)</f>
        <v>13430</v>
      </c>
      <c r="H21" s="132">
        <f>VLOOKUP(A21,Iedz_sk!$B$5:$Y$123,17,FALSE)</f>
        <v>12998</v>
      </c>
      <c r="I21" s="172">
        <f>VLOOKUP(A21,Iedz_sk!$B$5:$Y$123,24,FALSE)</f>
        <v>9979</v>
      </c>
      <c r="J21" s="133">
        <f>VLOOKUP($A21,IKP!$Q$6:$AC$124,11,FALSE)</f>
        <v>130893.41369186182</v>
      </c>
      <c r="K21" s="133">
        <f>VLOOKUP($A21,IKP!$Q$6:$AC$124,12,FALSE)</f>
        <v>136451.99055149566</v>
      </c>
      <c r="L21" s="133">
        <f>VLOOKUP($A21,IKP!$Q$6:$AC$124,13,FALSE)</f>
        <v>140408.77439595995</v>
      </c>
      <c r="M21" s="172">
        <f>VLOOKUP($A21,IKP!$Q$6:$AD$124,14,FALSE)</f>
        <v>157135.95206718461</v>
      </c>
      <c r="N21" s="132">
        <f>((-0.0000000006)*IKP!$J$5 + 0.0461)*J21</f>
        <v>3593.6742218795339</v>
      </c>
      <c r="O21" s="132">
        <f>((-0.0000000006)*IKP!$K$5 + 0.0461)*K21</f>
        <v>3616.5330083433641</v>
      </c>
      <c r="P21" s="132">
        <f>((-0.0000000006)*IKP!$L$5 + 0.0461)*L21</f>
        <v>3616.8491379134598</v>
      </c>
      <c r="Q21" s="172">
        <f>((-0.0000000006)*IKP!$M$5 + 0.0461)*M21</f>
        <v>3376.5220817074419</v>
      </c>
      <c r="R21" s="132">
        <f t="shared" si="1"/>
        <v>862.48181325108817</v>
      </c>
      <c r="S21" s="132">
        <f t="shared" si="2"/>
        <v>867.96792200240748</v>
      </c>
      <c r="T21" s="132">
        <f t="shared" si="3"/>
        <v>868.04379309923036</v>
      </c>
      <c r="U21" s="172">
        <f t="shared" si="4"/>
        <v>810.36529960978601</v>
      </c>
      <c r="V21" s="175"/>
      <c r="W21" s="175"/>
    </row>
    <row r="22" spans="1:23" hidden="1" outlineLevel="1" x14ac:dyDescent="0.3">
      <c r="A22" s="98" t="s">
        <v>17</v>
      </c>
      <c r="B22" s="176" t="s">
        <v>31</v>
      </c>
      <c r="C22" s="176" t="s">
        <v>31</v>
      </c>
      <c r="D22" s="176" t="s">
        <v>439</v>
      </c>
      <c r="E22" s="180">
        <v>745</v>
      </c>
      <c r="F22" s="132">
        <f>VLOOKUP(A22,Iedz_sk!$B$5:$Y$123,15,FALSE)</f>
        <v>5042</v>
      </c>
      <c r="G22" s="132">
        <f>VLOOKUP(A22,Iedz_sk!$B$5:$Y$123,16,FALSE)</f>
        <v>4900</v>
      </c>
      <c r="H22" s="132">
        <f>VLOOKUP(A22,Iedz_sk!$B$5:$Y$123,17,FALSE)</f>
        <v>4758</v>
      </c>
      <c r="I22" s="172">
        <f>VLOOKUP(A22,Iedz_sk!$B$5:$Y$123,24,FALSE)</f>
        <v>3764</v>
      </c>
      <c r="J22" s="133">
        <f>VLOOKUP($A22,IKP!$Q$6:$AC$124,11,FALSE)</f>
        <v>47613.0576317991</v>
      </c>
      <c r="K22" s="133">
        <f>VLOOKUP($A22,IKP!$Q$6:$AC$124,12,FALSE)</f>
        <v>49785.164088036385</v>
      </c>
      <c r="L22" s="133">
        <f>VLOOKUP($A22,IKP!$Q$6:$AC$124,13,FALSE)</f>
        <v>51397.518739496656</v>
      </c>
      <c r="M22" s="172">
        <f>VLOOKUP($A22,IKP!$Q$6:$AD$124,14,FALSE)</f>
        <v>59270.440282681928</v>
      </c>
      <c r="N22" s="132">
        <f>((-0.0000000006)*IKP!$J$5 + 0.0461)*J22</f>
        <v>1307.2148781990197</v>
      </c>
      <c r="O22" s="132">
        <f>((-0.0000000006)*IKP!$K$5 + 0.0461)*K22</f>
        <v>1319.5094371468713</v>
      </c>
      <c r="P22" s="132">
        <f>((-0.0000000006)*IKP!$L$5 + 0.0461)*L22</f>
        <v>1323.9704722412866</v>
      </c>
      <c r="Q22" s="172">
        <f>((-0.0000000006)*IKP!$M$5 + 0.0461)*M22</f>
        <v>1273.5974662337721</v>
      </c>
      <c r="R22" s="132">
        <f t="shared" si="1"/>
        <v>313.73157076776471</v>
      </c>
      <c r="S22" s="132">
        <f t="shared" si="2"/>
        <v>316.68226491524911</v>
      </c>
      <c r="T22" s="132">
        <f t="shared" si="3"/>
        <v>317.75291333790881</v>
      </c>
      <c r="U22" s="172">
        <f t="shared" si="4"/>
        <v>305.66339189610534</v>
      </c>
      <c r="V22" s="175"/>
      <c r="W22" s="175"/>
    </row>
    <row r="23" spans="1:23" hidden="1" outlineLevel="1" x14ac:dyDescent="0.3">
      <c r="A23" s="98" t="s">
        <v>18</v>
      </c>
      <c r="B23" s="176" t="s">
        <v>103</v>
      </c>
      <c r="C23" s="176" t="s">
        <v>103</v>
      </c>
      <c r="D23" s="176" t="s">
        <v>439</v>
      </c>
      <c r="E23" s="180">
        <v>545</v>
      </c>
      <c r="F23" s="132">
        <f>VLOOKUP(A23,Iedz_sk!$B$5:$Y$123,15,FALSE)</f>
        <v>3205</v>
      </c>
      <c r="G23" s="132">
        <f>VLOOKUP(A23,Iedz_sk!$B$5:$Y$123,16,FALSE)</f>
        <v>3124</v>
      </c>
      <c r="H23" s="132">
        <f>VLOOKUP(A23,Iedz_sk!$B$5:$Y$123,17,FALSE)</f>
        <v>3043</v>
      </c>
      <c r="I23" s="172">
        <f>VLOOKUP(A23,Iedz_sk!$B$5:$Y$123,24,FALSE)</f>
        <v>2476</v>
      </c>
      <c r="J23" s="133">
        <f>VLOOKUP($A23,IKP!$Q$6:$AC$124,11,FALSE)</f>
        <v>30265.737744925846</v>
      </c>
      <c r="K23" s="133">
        <f>VLOOKUP($A23,IKP!$Q$6:$AC$124,12,FALSE)</f>
        <v>31740.582165515443</v>
      </c>
      <c r="L23" s="133">
        <f>VLOOKUP($A23,IKP!$Q$6:$AC$124,13,FALSE)</f>
        <v>32871.511039152654</v>
      </c>
      <c r="M23" s="172">
        <f>VLOOKUP($A23,IKP!$Q$6:$AD$124,14,FALSE)</f>
        <v>38988.73808180671</v>
      </c>
      <c r="N23" s="132">
        <f>((-0.0000000006)*IKP!$J$5 + 0.0461)*J23</f>
        <v>830.94480060052717</v>
      </c>
      <c r="O23" s="132">
        <f>((-0.0000000006)*IKP!$K$5 + 0.0461)*K23</f>
        <v>841.25458809118902</v>
      </c>
      <c r="P23" s="132">
        <f>((-0.0000000006)*IKP!$L$5 + 0.0461)*L23</f>
        <v>846.75118684956612</v>
      </c>
      <c r="Q23" s="172">
        <f>((-0.0000000006)*IKP!$M$5 + 0.0461)*M23</f>
        <v>837.78621848959096</v>
      </c>
      <c r="R23" s="132">
        <f t="shared" si="1"/>
        <v>199.42675214412651</v>
      </c>
      <c r="S23" s="132">
        <f t="shared" si="2"/>
        <v>201.90110114188539</v>
      </c>
      <c r="T23" s="132">
        <f t="shared" si="3"/>
        <v>203.22028484389588</v>
      </c>
      <c r="U23" s="172">
        <f t="shared" si="4"/>
        <v>201.06869243750185</v>
      </c>
      <c r="V23" s="175"/>
      <c r="W23" s="175"/>
    </row>
    <row r="24" spans="1:23" hidden="1" outlineLevel="1" x14ac:dyDescent="0.3">
      <c r="A24" s="98" t="s">
        <v>19</v>
      </c>
      <c r="B24" s="176" t="s">
        <v>35</v>
      </c>
      <c r="C24" s="176" t="s">
        <v>35</v>
      </c>
      <c r="D24" s="176" t="s">
        <v>438</v>
      </c>
      <c r="E24" s="180">
        <v>517</v>
      </c>
      <c r="F24" s="132">
        <f>VLOOKUP(A24,Iedz_sk!$B$5:$Y$123,15,FALSE)</f>
        <v>6025</v>
      </c>
      <c r="G24" s="132">
        <f>VLOOKUP(A24,Iedz_sk!$B$5:$Y$123,16,FALSE)</f>
        <v>5878</v>
      </c>
      <c r="H24" s="132">
        <f>VLOOKUP(A24,Iedz_sk!$B$5:$Y$123,17,FALSE)</f>
        <v>5732</v>
      </c>
      <c r="I24" s="172">
        <f>VLOOKUP(A24,Iedz_sk!$B$5:$Y$123,24,FALSE)</f>
        <v>4706</v>
      </c>
      <c r="J24" s="133">
        <f>VLOOKUP($A24,IKP!$Q$6:$AC$124,11,FALSE)</f>
        <v>51418.562907628322</v>
      </c>
      <c r="K24" s="133">
        <f>VLOOKUP($A24,IKP!$Q$6:$AC$124,12,FALSE)</f>
        <v>53594.189971918451</v>
      </c>
      <c r="L24" s="133">
        <f>VLOOKUP($A24,IKP!$Q$6:$AC$124,13,FALSE)</f>
        <v>55161.48362323633</v>
      </c>
      <c r="M24" s="172">
        <f>VLOOKUP($A24,IKP!$Q$6:$AD$124,14,FALSE)</f>
        <v>62113.434246787256</v>
      </c>
      <c r="N24" s="132">
        <f>((-0.0000000006)*IKP!$J$5 + 0.0461)*J24</f>
        <v>1411.694896140704</v>
      </c>
      <c r="O24" s="132">
        <f>((-0.0000000006)*IKP!$K$5 + 0.0461)*K24</f>
        <v>1420.4641229892522</v>
      </c>
      <c r="P24" s="132">
        <f>((-0.0000000006)*IKP!$L$5 + 0.0461)*L24</f>
        <v>1420.9280391985985</v>
      </c>
      <c r="Q24" s="172">
        <f>((-0.0000000006)*IKP!$M$5 + 0.0461)*M24</f>
        <v>1334.6874445084977</v>
      </c>
      <c r="R24" s="132">
        <f t="shared" si="1"/>
        <v>338.80677507376896</v>
      </c>
      <c r="S24" s="132">
        <f t="shared" si="2"/>
        <v>340.9113895174205</v>
      </c>
      <c r="T24" s="132">
        <f t="shared" si="3"/>
        <v>341.02272940766363</v>
      </c>
      <c r="U24" s="172">
        <f t="shared" si="4"/>
        <v>320.32498668203948</v>
      </c>
      <c r="V24" s="175"/>
      <c r="W24" s="175"/>
    </row>
    <row r="25" spans="1:23" hidden="1" outlineLevel="1" x14ac:dyDescent="0.3">
      <c r="A25" s="98" t="s">
        <v>20</v>
      </c>
      <c r="B25" s="176" t="s">
        <v>20</v>
      </c>
      <c r="C25" s="176" t="s">
        <v>20</v>
      </c>
      <c r="D25" s="176" t="s">
        <v>438</v>
      </c>
      <c r="E25" s="180">
        <v>163</v>
      </c>
      <c r="F25" s="132">
        <f>VLOOKUP(A25,Iedz_sk!$B$5:$Y$123,15,FALSE)</f>
        <v>11824</v>
      </c>
      <c r="G25" s="132">
        <f>VLOOKUP(A25,Iedz_sk!$B$5:$Y$123,16,FALSE)</f>
        <v>12051</v>
      </c>
      <c r="H25" s="132">
        <f>VLOOKUP(A25,Iedz_sk!$B$5:$Y$123,17,FALSE)</f>
        <v>12277</v>
      </c>
      <c r="I25" s="172">
        <f>VLOOKUP(A25,Iedz_sk!$B$5:$Y$123,24,FALSE)</f>
        <v>13864</v>
      </c>
      <c r="J25" s="133">
        <f>VLOOKUP($A25,IKP!$Q$6:$AC$124,11,FALSE)</f>
        <v>153394.16893274165</v>
      </c>
      <c r="K25" s="133">
        <f>VLOOKUP($A25,IKP!$Q$6:$AC$124,12,FALSE)</f>
        <v>164820.75920711004</v>
      </c>
      <c r="L25" s="133">
        <f>VLOOKUP($A25,IKP!$Q$6:$AC$124,13,FALSE)</f>
        <v>174833.34586820166</v>
      </c>
      <c r="M25" s="172">
        <f>VLOOKUP($A25,IKP!$Q$6:$AD$124,14,FALSE)</f>
        <v>244209.02427323113</v>
      </c>
      <c r="N25" s="132">
        <f>((-0.0000000006)*IKP!$J$5 + 0.0461)*J25</f>
        <v>4211.4316918797085</v>
      </c>
      <c r="O25" s="132">
        <f>((-0.0000000006)*IKP!$K$5 + 0.0461)*K25</f>
        <v>4368.4208176338198</v>
      </c>
      <c r="P25" s="132">
        <f>((-0.0000000006)*IKP!$L$5 + 0.0461)*L25</f>
        <v>4503.606266789875</v>
      </c>
      <c r="Q25" s="172">
        <f>((-0.0000000006)*IKP!$M$5 + 0.0461)*M25</f>
        <v>5247.5398033560114</v>
      </c>
      <c r="R25" s="132">
        <f t="shared" si="1"/>
        <v>1010.7436060511301</v>
      </c>
      <c r="S25" s="132">
        <f t="shared" si="2"/>
        <v>1048.4209962321167</v>
      </c>
      <c r="T25" s="132">
        <f t="shared" si="3"/>
        <v>1080.86550402957</v>
      </c>
      <c r="U25" s="172">
        <f t="shared" si="4"/>
        <v>1259.4095528054427</v>
      </c>
      <c r="V25" s="175"/>
      <c r="W25" s="175"/>
    </row>
    <row r="26" spans="1:23" hidden="1" outlineLevel="1" x14ac:dyDescent="0.3">
      <c r="A26" s="98" t="s">
        <v>21</v>
      </c>
      <c r="B26" s="176" t="s">
        <v>71</v>
      </c>
      <c r="C26" s="176" t="s">
        <v>71</v>
      </c>
      <c r="D26" s="176" t="s">
        <v>438</v>
      </c>
      <c r="E26" s="180">
        <v>243</v>
      </c>
      <c r="F26" s="132">
        <f>VLOOKUP(A26,Iedz_sk!$B$5:$Y$123,15,FALSE)</f>
        <v>11247</v>
      </c>
      <c r="G26" s="132">
        <f>VLOOKUP(A26,Iedz_sk!$B$5:$Y$123,16,FALSE)</f>
        <v>11352</v>
      </c>
      <c r="H26" s="132">
        <f>VLOOKUP(A26,Iedz_sk!$B$5:$Y$123,17,FALSE)</f>
        <v>11457</v>
      </c>
      <c r="I26" s="172">
        <f>VLOOKUP(A26,Iedz_sk!$B$5:$Y$123,24,FALSE)</f>
        <v>12192</v>
      </c>
      <c r="J26" s="133">
        <f>VLOOKUP($A26,IKP!$Q$6:$AC$124,11,FALSE)</f>
        <v>145908.67878776602</v>
      </c>
      <c r="K26" s="133">
        <f>VLOOKUP($A26,IKP!$Q$6:$AC$124,12,FALSE)</f>
        <v>155260.58074177356</v>
      </c>
      <c r="L26" s="133">
        <f>VLOOKUP($A26,IKP!$Q$6:$AC$124,13,FALSE)</f>
        <v>163155.95370302079</v>
      </c>
      <c r="M26" s="172">
        <f>VLOOKUP($A26,IKP!$Q$6:$AD$124,14,FALSE)</f>
        <v>214757.38776249523</v>
      </c>
      <c r="N26" s="132">
        <f>((-0.0000000006)*IKP!$J$5 + 0.0461)*J26</f>
        <v>4005.9178144934945</v>
      </c>
      <c r="O26" s="132">
        <f>((-0.0000000006)*IKP!$K$5 + 0.0461)*K26</f>
        <v>4115.0371854434588</v>
      </c>
      <c r="P26" s="132">
        <f>((-0.0000000006)*IKP!$L$5 + 0.0461)*L26</f>
        <v>4202.8033720462317</v>
      </c>
      <c r="Q26" s="172">
        <f>((-0.0000000006)*IKP!$M$5 + 0.0461)*M26</f>
        <v>4614.6858974694524</v>
      </c>
      <c r="R26" s="132">
        <f t="shared" si="1"/>
        <v>961.42027547843873</v>
      </c>
      <c r="S26" s="132">
        <f t="shared" si="2"/>
        <v>987.60892450643018</v>
      </c>
      <c r="T26" s="132">
        <f t="shared" si="3"/>
        <v>1008.6728092910956</v>
      </c>
      <c r="U26" s="172">
        <f t="shared" si="4"/>
        <v>1107.5246153926687</v>
      </c>
      <c r="V26" s="175"/>
      <c r="W26" s="175"/>
    </row>
    <row r="27" spans="1:23" hidden="1" outlineLevel="1" x14ac:dyDescent="0.3">
      <c r="A27" s="98" t="s">
        <v>22</v>
      </c>
      <c r="B27" s="176" t="s">
        <v>61</v>
      </c>
      <c r="C27" s="176" t="s">
        <v>61</v>
      </c>
      <c r="D27" s="176" t="s">
        <v>438</v>
      </c>
      <c r="E27" s="180">
        <v>179</v>
      </c>
      <c r="F27" s="132">
        <f>VLOOKUP(A27,Iedz_sk!$B$5:$Y$123,15,FALSE)</f>
        <v>5446</v>
      </c>
      <c r="G27" s="132">
        <f>VLOOKUP(A27,Iedz_sk!$B$5:$Y$123,16,FALSE)</f>
        <v>5471</v>
      </c>
      <c r="H27" s="132">
        <f>VLOOKUP(A27,Iedz_sk!$B$5:$Y$123,17,FALSE)</f>
        <v>5496</v>
      </c>
      <c r="I27" s="172">
        <f>VLOOKUP(A27,Iedz_sk!$B$5:$Y$123,24,FALSE)</f>
        <v>5673</v>
      </c>
      <c r="J27" s="133">
        <f>VLOOKUP($A27,IKP!$Q$6:$AC$124,11,FALSE)</f>
        <v>70651.610623114946</v>
      </c>
      <c r="K27" s="133">
        <f>VLOOKUP($A27,IKP!$Q$6:$AC$124,12,FALSE)</f>
        <v>74826.518431839606</v>
      </c>
      <c r="L27" s="133">
        <f>VLOOKUP($A27,IKP!$Q$6:$AC$124,13,FALSE)</f>
        <v>78267.008951017051</v>
      </c>
      <c r="M27" s="172">
        <f>VLOOKUP($A27,IKP!$Q$6:$AD$124,14,FALSE)</f>
        <v>99927.711677873638</v>
      </c>
      <c r="N27" s="132">
        <f>((-0.0000000006)*IKP!$J$5 + 0.0461)*J27</f>
        <v>1939.7375671496018</v>
      </c>
      <c r="O27" s="132">
        <f>((-0.0000000006)*IKP!$K$5 + 0.0461)*K27</f>
        <v>1983.2072270578899</v>
      </c>
      <c r="P27" s="132">
        <f>((-0.0000000006)*IKP!$L$5 + 0.0461)*L27</f>
        <v>2016.1130603793395</v>
      </c>
      <c r="Q27" s="172">
        <f>((-0.0000000006)*IKP!$M$5 + 0.0461)*M27</f>
        <v>2147.2369665636652</v>
      </c>
      <c r="R27" s="132">
        <f t="shared" si="1"/>
        <v>465.53701611590441</v>
      </c>
      <c r="S27" s="132">
        <f t="shared" si="2"/>
        <v>475.96973449389355</v>
      </c>
      <c r="T27" s="132">
        <f t="shared" si="3"/>
        <v>483.8671344910415</v>
      </c>
      <c r="U27" s="172">
        <f t="shared" si="4"/>
        <v>515.33687197527968</v>
      </c>
      <c r="V27" s="175"/>
      <c r="W27" s="175"/>
    </row>
    <row r="28" spans="1:23" hidden="1" outlineLevel="1" x14ac:dyDescent="0.3">
      <c r="A28" s="98" t="s">
        <v>23</v>
      </c>
      <c r="B28" s="176" t="s">
        <v>24</v>
      </c>
      <c r="C28" s="176" t="s">
        <v>24</v>
      </c>
      <c r="D28" s="176" t="s">
        <v>439</v>
      </c>
      <c r="E28" s="180">
        <v>186</v>
      </c>
      <c r="F28" s="132">
        <f>VLOOKUP(A28,Iedz_sk!$B$5:$Y$123,15,FALSE)</f>
        <v>937</v>
      </c>
      <c r="G28" s="132">
        <f>VLOOKUP(A28,Iedz_sk!$B$5:$Y$123,16,FALSE)</f>
        <v>915</v>
      </c>
      <c r="H28" s="132">
        <f>VLOOKUP(A28,Iedz_sk!$B$5:$Y$123,17,FALSE)</f>
        <v>893</v>
      </c>
      <c r="I28" s="172">
        <f>VLOOKUP(A28,Iedz_sk!$B$5:$Y$123,24,FALSE)</f>
        <v>738</v>
      </c>
      <c r="J28" s="133">
        <f>VLOOKUP($A28,IKP!$Q$6:$AC$124,11,FALSE)</f>
        <v>6161.6194422005201</v>
      </c>
      <c r="K28" s="133">
        <f>VLOOKUP($A28,IKP!$Q$6:$AC$124,12,FALSE)</f>
        <v>6472.322322954763</v>
      </c>
      <c r="L28" s="133">
        <f>VLOOKUP($A28,IKP!$Q$6:$AC$124,13,FALSE)</f>
        <v>6714.4196307593284</v>
      </c>
      <c r="M28" s="172">
        <f>VLOOKUP($A28,IKP!$Q$6:$AD$124,14,FALSE)</f>
        <v>8073.5555077300614</v>
      </c>
      <c r="N28" s="132">
        <f>((-0.0000000006)*IKP!$J$5 + 0.0461)*J28</f>
        <v>169.16705225974616</v>
      </c>
      <c r="O28" s="132">
        <f>((-0.0000000006)*IKP!$K$5 + 0.0461)*K28</f>
        <v>171.54287912545905</v>
      </c>
      <c r="P28" s="132">
        <f>((-0.0000000006)*IKP!$L$5 + 0.0461)*L28</f>
        <v>172.95958146188229</v>
      </c>
      <c r="Q28" s="172">
        <f>((-0.0000000006)*IKP!$M$5 + 0.0461)*M28</f>
        <v>173.48377688949154</v>
      </c>
      <c r="R28" s="132">
        <f t="shared" si="1"/>
        <v>40.600092542339077</v>
      </c>
      <c r="S28" s="132">
        <f t="shared" si="2"/>
        <v>41.170290990110175</v>
      </c>
      <c r="T28" s="132">
        <f t="shared" si="3"/>
        <v>41.510299550851748</v>
      </c>
      <c r="U28" s="172">
        <f t="shared" si="4"/>
        <v>41.636106453477964</v>
      </c>
      <c r="V28" s="175"/>
      <c r="W28" s="175"/>
    </row>
    <row r="29" spans="1:23" hidden="1" outlineLevel="1" x14ac:dyDescent="0.3">
      <c r="A29" s="98" t="s">
        <v>24</v>
      </c>
      <c r="B29" s="176" t="s">
        <v>24</v>
      </c>
      <c r="C29" s="176" t="s">
        <v>24</v>
      </c>
      <c r="D29" s="176" t="s">
        <v>439</v>
      </c>
      <c r="E29" s="180">
        <v>1045</v>
      </c>
      <c r="F29" s="132">
        <f>VLOOKUP(A29,Iedz_sk!$B$5:$Y$123,15,FALSE)</f>
        <v>11576</v>
      </c>
      <c r="G29" s="132">
        <f>VLOOKUP(A29,Iedz_sk!$B$5:$Y$123,16,FALSE)</f>
        <v>11292</v>
      </c>
      <c r="H29" s="132">
        <f>VLOOKUP(A29,Iedz_sk!$B$5:$Y$123,17,FALSE)</f>
        <v>11008</v>
      </c>
      <c r="I29" s="172">
        <f>VLOOKUP(A29,Iedz_sk!$B$5:$Y$123,24,FALSE)</f>
        <v>9018</v>
      </c>
      <c r="J29" s="133">
        <f>VLOOKUP($A29,IKP!$Q$6:$AC$124,11,FALSE)</f>
        <v>76122.632511113363</v>
      </c>
      <c r="K29" s="133">
        <f>VLOOKUP($A29,IKP!$Q$6:$AC$124,12,FALSE)</f>
        <v>79874.823683940092</v>
      </c>
      <c r="L29" s="133">
        <f>VLOOKUP($A29,IKP!$Q$6:$AC$124,13,FALSE)</f>
        <v>82768.568079953737</v>
      </c>
      <c r="M29" s="172">
        <f>VLOOKUP($A29,IKP!$Q$6:$AD$124,14,FALSE)</f>
        <v>98654.909984701488</v>
      </c>
      <c r="N29" s="132">
        <f>((-0.0000000006)*IKP!$J$5 + 0.0461)*J29</f>
        <v>2089.9442870424991</v>
      </c>
      <c r="O29" s="132">
        <f>((-0.0000000006)*IKP!$K$5 + 0.0461)*K29</f>
        <v>2117.0078591089436</v>
      </c>
      <c r="P29" s="132">
        <f>((-0.0000000006)*IKP!$L$5 + 0.0461)*L29</f>
        <v>2132.0706301594628</v>
      </c>
      <c r="Q29" s="172">
        <f>((-0.0000000006)*IKP!$M$5 + 0.0461)*M29</f>
        <v>2119.8871273569575</v>
      </c>
      <c r="R29" s="132">
        <f t="shared" si="1"/>
        <v>501.58662889019979</v>
      </c>
      <c r="S29" s="132">
        <f t="shared" si="2"/>
        <v>508.08188618614651</v>
      </c>
      <c r="T29" s="132">
        <f t="shared" si="3"/>
        <v>511.69695123827108</v>
      </c>
      <c r="U29" s="172">
        <f t="shared" si="4"/>
        <v>508.7729105656698</v>
      </c>
      <c r="V29" s="175"/>
      <c r="W29" s="175"/>
    </row>
    <row r="30" spans="1:23" hidden="1" outlineLevel="1" x14ac:dyDescent="0.3">
      <c r="A30" s="98" t="s">
        <v>25</v>
      </c>
      <c r="B30" s="176" t="s">
        <v>25</v>
      </c>
      <c r="C30" s="176" t="s">
        <v>25</v>
      </c>
      <c r="D30" s="176" t="s">
        <v>438</v>
      </c>
      <c r="E30" s="180">
        <v>786</v>
      </c>
      <c r="F30" s="132">
        <f>VLOOKUP(A30,Iedz_sk!$B$5:$Y$123,15,FALSE)</f>
        <v>22259</v>
      </c>
      <c r="G30" s="132">
        <f>VLOOKUP(A30,Iedz_sk!$B$5:$Y$123,16,FALSE)</f>
        <v>21899</v>
      </c>
      <c r="H30" s="132">
        <f>VLOOKUP(A30,Iedz_sk!$B$5:$Y$123,17,FALSE)</f>
        <v>21539</v>
      </c>
      <c r="I30" s="172">
        <f>VLOOKUP(A30,Iedz_sk!$B$5:$Y$123,24,FALSE)</f>
        <v>19017</v>
      </c>
      <c r="J30" s="133">
        <f>VLOOKUP($A30,IKP!$Q$6:$AC$124,11,FALSE)</f>
        <v>189962.78701425708</v>
      </c>
      <c r="K30" s="133">
        <f>VLOOKUP($A30,IKP!$Q$6:$AC$124,12,FALSE)</f>
        <v>199669.81391545461</v>
      </c>
      <c r="L30" s="133">
        <f>VLOOKUP($A30,IKP!$Q$6:$AC$124,13,FALSE)</f>
        <v>207278.99437559093</v>
      </c>
      <c r="M30" s="172">
        <f>VLOOKUP($A30,IKP!$Q$6:$AD$124,14,FALSE)</f>
        <v>251001.10052510691</v>
      </c>
      <c r="N30" s="132">
        <f>((-0.0000000006)*IKP!$J$5 + 0.0461)*J30</f>
        <v>5215.4218577918564</v>
      </c>
      <c r="O30" s="132">
        <f>((-0.0000000006)*IKP!$K$5 + 0.0461)*K30</f>
        <v>5292.0625772952762</v>
      </c>
      <c r="P30" s="132">
        <f>((-0.0000000006)*IKP!$L$5 + 0.0461)*L30</f>
        <v>5339.3874801637494</v>
      </c>
      <c r="Q30" s="172">
        <f>((-0.0000000006)*IKP!$M$5 + 0.0461)*M30</f>
        <v>5393.4872784143854</v>
      </c>
      <c r="R30" s="132">
        <f t="shared" si="1"/>
        <v>1251.7012458700453</v>
      </c>
      <c r="S30" s="132">
        <f t="shared" si="2"/>
        <v>1270.0950185508664</v>
      </c>
      <c r="T30" s="132">
        <f t="shared" si="3"/>
        <v>1281.4529952392998</v>
      </c>
      <c r="U30" s="172">
        <f t="shared" si="4"/>
        <v>1294.4369468194525</v>
      </c>
      <c r="V30" s="175"/>
      <c r="W30" s="175"/>
    </row>
    <row r="31" spans="1:23" hidden="1" outlineLevel="1" x14ac:dyDescent="0.3">
      <c r="A31" s="98" t="s">
        <v>26</v>
      </c>
      <c r="B31" s="176" t="s">
        <v>442</v>
      </c>
      <c r="C31" s="176" t="s">
        <v>442</v>
      </c>
      <c r="D31" s="176" t="s">
        <v>439</v>
      </c>
      <c r="E31" s="180">
        <v>301</v>
      </c>
      <c r="F31" s="132">
        <f>VLOOKUP(A31,Iedz_sk!$B$5:$Y$123,15,FALSE)</f>
        <v>2948</v>
      </c>
      <c r="G31" s="132">
        <f>VLOOKUP(A31,Iedz_sk!$B$5:$Y$123,16,FALSE)</f>
        <v>2895</v>
      </c>
      <c r="H31" s="132">
        <f>VLOOKUP(A31,Iedz_sk!$B$5:$Y$123,17,FALSE)</f>
        <v>2842</v>
      </c>
      <c r="I31" s="172">
        <f>VLOOKUP(A31,Iedz_sk!$B$5:$Y$123,24,FALSE)</f>
        <v>2469</v>
      </c>
      <c r="J31" s="133">
        <f>VLOOKUP($A31,IKP!$Q$6:$AC$124,11,FALSE)</f>
        <v>27838.812752587019</v>
      </c>
      <c r="K31" s="133">
        <f>VLOOKUP($A31,IKP!$Q$6:$AC$124,12,FALSE)</f>
        <v>29413.887762217419</v>
      </c>
      <c r="L31" s="133">
        <f>VLOOKUP($A31,IKP!$Q$6:$AC$124,13,FALSE)</f>
        <v>30700.24133199863</v>
      </c>
      <c r="M31" s="172">
        <f>VLOOKUP($A31,IKP!$Q$6:$AD$124,14,FALSE)</f>
        <v>38878.511439410649</v>
      </c>
      <c r="N31" s="132">
        <f>((-0.0000000006)*IKP!$J$5 + 0.0461)*J31</f>
        <v>764.31365746344909</v>
      </c>
      <c r="O31" s="132">
        <f>((-0.0000000006)*IKP!$K$5 + 0.0461)*K31</f>
        <v>779.58771847759044</v>
      </c>
      <c r="P31" s="132">
        <f>((-0.0000000006)*IKP!$L$5 + 0.0461)*L31</f>
        <v>790.82053007770833</v>
      </c>
      <c r="Q31" s="172">
        <f>((-0.0000000006)*IKP!$M$5 + 0.0461)*M31</f>
        <v>835.41767909967689</v>
      </c>
      <c r="R31" s="132">
        <f t="shared" si="1"/>
        <v>183.43527779122778</v>
      </c>
      <c r="S31" s="132">
        <f t="shared" si="2"/>
        <v>187.10105243462172</v>
      </c>
      <c r="T31" s="132">
        <f t="shared" si="3"/>
        <v>189.79692721865001</v>
      </c>
      <c r="U31" s="172">
        <f t="shared" si="4"/>
        <v>200.50024298392245</v>
      </c>
      <c r="V31" s="175"/>
      <c r="W31" s="175"/>
    </row>
    <row r="32" spans="1:23" hidden="1" outlineLevel="1" x14ac:dyDescent="0.3">
      <c r="A32" s="98" t="s">
        <v>27</v>
      </c>
      <c r="B32" s="176" t="s">
        <v>97</v>
      </c>
      <c r="C32" s="176" t="s">
        <v>97</v>
      </c>
      <c r="D32" s="176" t="s">
        <v>176</v>
      </c>
      <c r="E32" s="180">
        <v>496</v>
      </c>
      <c r="F32" s="132">
        <f>VLOOKUP(A32,Iedz_sk!$B$5:$Y$123,15,FALSE)</f>
        <v>5672</v>
      </c>
      <c r="G32" s="132">
        <f>VLOOKUP(A32,Iedz_sk!$B$5:$Y$123,16,FALSE)</f>
        <v>5556</v>
      </c>
      <c r="H32" s="132">
        <f>VLOOKUP(A32,Iedz_sk!$B$5:$Y$123,17,FALSE)</f>
        <v>5440</v>
      </c>
      <c r="I32" s="172">
        <f>VLOOKUP(A32,Iedz_sk!$B$5:$Y$123,24,FALSE)</f>
        <v>4630</v>
      </c>
      <c r="J32" s="133">
        <f>VLOOKUP($A32,IKP!$Q$6:$AC$124,11,FALSE)</f>
        <v>54344.370332916398</v>
      </c>
      <c r="K32" s="133">
        <f>VLOOKUP($A32,IKP!$Q$6:$AC$124,12,FALSE)</f>
        <v>56963.731214438187</v>
      </c>
      <c r="L32" s="133">
        <f>VLOOKUP($A32,IKP!$Q$6:$AC$124,13,FALSE)</f>
        <v>58964.069854419598</v>
      </c>
      <c r="M32" s="172">
        <f>VLOOKUP($A32,IKP!$Q$6:$AD$124,14,FALSE)</f>
        <v>69759.295356693197</v>
      </c>
      <c r="N32" s="132">
        <f>((-0.0000000006)*IKP!$J$5 + 0.0461)*J32</f>
        <v>1492.0228395099068</v>
      </c>
      <c r="O32" s="132">
        <f>((-0.0000000006)*IKP!$K$5 + 0.0461)*K32</f>
        <v>1509.7706774579319</v>
      </c>
      <c r="P32" s="132">
        <f>((-0.0000000006)*IKP!$L$5 + 0.0461)*L32</f>
        <v>1518.8804698160154</v>
      </c>
      <c r="Q32" s="172">
        <f>((-0.0000000006)*IKP!$M$5 + 0.0461)*M32</f>
        <v>1498.9809657023463</v>
      </c>
      <c r="R32" s="132">
        <f t="shared" si="1"/>
        <v>358.08548148237759</v>
      </c>
      <c r="S32" s="132">
        <f t="shared" si="2"/>
        <v>362.34496258990367</v>
      </c>
      <c r="T32" s="132">
        <f t="shared" si="3"/>
        <v>364.53131275584371</v>
      </c>
      <c r="U32" s="172">
        <f t="shared" si="4"/>
        <v>359.75543176856308</v>
      </c>
      <c r="V32" s="175"/>
      <c r="W32" s="175"/>
    </row>
    <row r="33" spans="1:23" hidden="1" outlineLevel="1" x14ac:dyDescent="0.3">
      <c r="A33" s="98" t="s">
        <v>28</v>
      </c>
      <c r="B33" s="176" t="s">
        <v>442</v>
      </c>
      <c r="C33" s="176" t="s">
        <v>442</v>
      </c>
      <c r="D33" s="176" t="s">
        <v>439</v>
      </c>
      <c r="E33" s="180">
        <v>702</v>
      </c>
      <c r="F33" s="132">
        <f>VLOOKUP(A33,Iedz_sk!$B$5:$Y$123,15,FALSE)</f>
        <v>7410</v>
      </c>
      <c r="G33" s="132">
        <f>VLOOKUP(A33,Iedz_sk!$B$5:$Y$123,16,FALSE)</f>
        <v>7314</v>
      </c>
      <c r="H33" s="132">
        <f>VLOOKUP(A33,Iedz_sk!$B$5:$Y$123,17,FALSE)</f>
        <v>7218</v>
      </c>
      <c r="I33" s="172">
        <f>VLOOKUP(A33,Iedz_sk!$B$5:$Y$123,24,FALSE)</f>
        <v>6545</v>
      </c>
      <c r="J33" s="133">
        <f>VLOOKUP($A33,IKP!$Q$6:$AC$124,11,FALSE)</f>
        <v>69974.763397784875</v>
      </c>
      <c r="K33" s="133">
        <f>VLOOKUP($A33,IKP!$Q$6:$AC$124,12,FALSE)</f>
        <v>74311.977579571045</v>
      </c>
      <c r="L33" s="133">
        <f>VLOOKUP($A33,IKP!$Q$6:$AC$124,13,FALSE)</f>
        <v>77971.267394217488</v>
      </c>
      <c r="M33" s="172">
        <f>VLOOKUP($A33,IKP!$Q$6:$AD$124,14,FALSE)</f>
        <v>103061.910640317</v>
      </c>
      <c r="N33" s="132">
        <f>((-0.0000000006)*IKP!$J$5 + 0.0461)*J33</f>
        <v>1921.1547495943546</v>
      </c>
      <c r="O33" s="132">
        <f>((-0.0000000006)*IKP!$K$5 + 0.0461)*K33</f>
        <v>1969.569800671881</v>
      </c>
      <c r="P33" s="132">
        <f>((-0.0000000006)*IKP!$L$5 + 0.0461)*L33</f>
        <v>2008.4949282550665</v>
      </c>
      <c r="Q33" s="172">
        <f>((-0.0000000006)*IKP!$M$5 + 0.0461)*M33</f>
        <v>2214.5843295696172</v>
      </c>
      <c r="R33" s="132">
        <f t="shared" si="1"/>
        <v>461.07713990264506</v>
      </c>
      <c r="S33" s="132">
        <f t="shared" si="2"/>
        <v>472.69675216125142</v>
      </c>
      <c r="T33" s="132">
        <f t="shared" si="3"/>
        <v>482.03878278121601</v>
      </c>
      <c r="U33" s="172">
        <f t="shared" si="4"/>
        <v>531.50023909670813</v>
      </c>
      <c r="V33" s="175"/>
      <c r="W33" s="175"/>
    </row>
    <row r="34" spans="1:23" hidden="1" outlineLevel="1" x14ac:dyDescent="0.3">
      <c r="A34" s="98" t="s">
        <v>29</v>
      </c>
      <c r="B34" s="176" t="s">
        <v>20</v>
      </c>
      <c r="C34" s="176" t="s">
        <v>20</v>
      </c>
      <c r="D34" s="176" t="s">
        <v>438</v>
      </c>
      <c r="E34" s="180">
        <v>81</v>
      </c>
      <c r="F34" s="132">
        <f>VLOOKUP(A34,Iedz_sk!$B$5:$Y$123,15,FALSE)</f>
        <v>9310</v>
      </c>
      <c r="G34" s="132">
        <f>VLOOKUP(A34,Iedz_sk!$B$5:$Y$123,16,FALSE)</f>
        <v>9290</v>
      </c>
      <c r="H34" s="132">
        <f>VLOOKUP(A34,Iedz_sk!$B$5:$Y$123,17,FALSE)</f>
        <v>9269</v>
      </c>
      <c r="I34" s="172">
        <f>VLOOKUP(A34,Iedz_sk!$B$5:$Y$123,24,FALSE)</f>
        <v>9126</v>
      </c>
      <c r="J34" s="133">
        <f>VLOOKUP($A34,IKP!$Q$6:$AC$124,11,FALSE)</f>
        <v>120779.74566676462</v>
      </c>
      <c r="K34" s="133">
        <f>VLOOKUP($A34,IKP!$Q$6:$AC$124,12,FALSE)</f>
        <v>127058.73811584535</v>
      </c>
      <c r="L34" s="133">
        <f>VLOOKUP($A34,IKP!$Q$6:$AC$124,13,FALSE)</f>
        <v>131997.25363300164</v>
      </c>
      <c r="M34" s="172">
        <f>VLOOKUP($A34,IKP!$Q$6:$AD$124,14,FALSE)</f>
        <v>160750.97774938744</v>
      </c>
      <c r="N34" s="132">
        <f>((-0.0000000006)*IKP!$J$5 + 0.0461)*J34</f>
        <v>3316.0038101657715</v>
      </c>
      <c r="O34" s="132">
        <f>((-0.0000000006)*IKP!$K$5 + 0.0461)*K34</f>
        <v>3367.5735952052269</v>
      </c>
      <c r="P34" s="132">
        <f>((-0.0000000006)*IKP!$L$5 + 0.0461)*L34</f>
        <v>3400.1732089985621</v>
      </c>
      <c r="Q34" s="172">
        <f>((-0.0000000006)*IKP!$M$5 + 0.0461)*M34</f>
        <v>3454.2014025841722</v>
      </c>
      <c r="R34" s="132">
        <f t="shared" si="1"/>
        <v>795.84091443978514</v>
      </c>
      <c r="S34" s="132">
        <f t="shared" si="2"/>
        <v>808.21766284925445</v>
      </c>
      <c r="T34" s="132">
        <f t="shared" si="3"/>
        <v>816.04157015965495</v>
      </c>
      <c r="U34" s="172">
        <f t="shared" si="4"/>
        <v>829.00833662020136</v>
      </c>
      <c r="V34" s="175"/>
      <c r="W34" s="175"/>
    </row>
    <row r="35" spans="1:23" hidden="1" outlineLevel="1" x14ac:dyDescent="0.3">
      <c r="A35" s="98" t="s">
        <v>30</v>
      </c>
      <c r="B35" s="176" t="s">
        <v>68</v>
      </c>
      <c r="C35" s="176" t="s">
        <v>68</v>
      </c>
      <c r="D35" s="176" t="s">
        <v>439</v>
      </c>
      <c r="E35" s="180">
        <v>190</v>
      </c>
      <c r="F35" s="132">
        <f>VLOOKUP(A35,Iedz_sk!$B$5:$Y$123,15,FALSE)</f>
        <v>2253</v>
      </c>
      <c r="G35" s="132">
        <f>VLOOKUP(A35,Iedz_sk!$B$5:$Y$123,16,FALSE)</f>
        <v>2198</v>
      </c>
      <c r="H35" s="132">
        <f>VLOOKUP(A35,Iedz_sk!$B$5:$Y$123,17,FALSE)</f>
        <v>2144</v>
      </c>
      <c r="I35" s="172">
        <f>VLOOKUP(A35,Iedz_sk!$B$5:$Y$123,24,FALSE)</f>
        <v>1762</v>
      </c>
      <c r="J35" s="133">
        <f>VLOOKUP($A35,IKP!$Q$6:$AC$124,11,FALSE)</f>
        <v>21275.727656573457</v>
      </c>
      <c r="K35" s="133">
        <f>VLOOKUP($A35,IKP!$Q$6:$AC$124,12,FALSE)</f>
        <v>22332.202176633466</v>
      </c>
      <c r="L35" s="133">
        <f>VLOOKUP($A35,IKP!$Q$6:$AC$124,13,FALSE)</f>
        <v>23160.210209642879</v>
      </c>
      <c r="M35" s="172">
        <f>VLOOKUP($A35,IKP!$Q$6:$AD$124,14,FALSE)</f>
        <v>27745.620557408489</v>
      </c>
      <c r="N35" s="132">
        <f>((-0.0000000006)*IKP!$J$5 + 0.0461)*J35</f>
        <v>584.1243793301054</v>
      </c>
      <c r="O35" s="132">
        <f>((-0.0000000006)*IKP!$K$5 + 0.0461)*K35</f>
        <v>591.89423323445374</v>
      </c>
      <c r="P35" s="132">
        <f>((-0.0000000006)*IKP!$L$5 + 0.0461)*L35</f>
        <v>596.59367223314803</v>
      </c>
      <c r="Q35" s="172">
        <f>((-0.0000000006)*IKP!$M$5 + 0.0461)*M35</f>
        <v>596.19520071835984</v>
      </c>
      <c r="R35" s="132">
        <f t="shared" si="1"/>
        <v>140.18985103922529</v>
      </c>
      <c r="S35" s="132">
        <f t="shared" si="2"/>
        <v>142.05461597626891</v>
      </c>
      <c r="T35" s="132">
        <f t="shared" si="3"/>
        <v>143.18248133595552</v>
      </c>
      <c r="U35" s="172">
        <f t="shared" si="4"/>
        <v>143.08684817240635</v>
      </c>
      <c r="V35" s="175"/>
      <c r="W35" s="175"/>
    </row>
    <row r="36" spans="1:23" hidden="1" outlineLevel="1" x14ac:dyDescent="0.3">
      <c r="A36" s="98" t="s">
        <v>31</v>
      </c>
      <c r="B36" s="176" t="s">
        <v>31</v>
      </c>
      <c r="C36" s="176" t="s">
        <v>31</v>
      </c>
      <c r="D36" s="176" t="s">
        <v>439</v>
      </c>
      <c r="E36" s="180">
        <v>173</v>
      </c>
      <c r="F36" s="132">
        <f>VLOOKUP(A36,Iedz_sk!$B$5:$Y$123,15,FALSE)</f>
        <v>16143</v>
      </c>
      <c r="G36" s="132">
        <f>VLOOKUP(A36,Iedz_sk!$B$5:$Y$123,16,FALSE)</f>
        <v>15785</v>
      </c>
      <c r="H36" s="132">
        <f>VLOOKUP(A36,Iedz_sk!$B$5:$Y$123,17,FALSE)</f>
        <v>15426</v>
      </c>
      <c r="I36" s="172">
        <f>VLOOKUP(A36,Iedz_sk!$B$5:$Y$123,24,FALSE)</f>
        <v>12918</v>
      </c>
      <c r="J36" s="133">
        <f>VLOOKUP($A36,IKP!$Q$6:$AC$124,11,FALSE)</f>
        <v>152442.99669776534</v>
      </c>
      <c r="K36" s="133">
        <f>VLOOKUP($A36,IKP!$Q$6:$AC$124,12,FALSE)</f>
        <v>160379.35002646007</v>
      </c>
      <c r="L36" s="133">
        <f>VLOOKUP($A36,IKP!$Q$6:$AC$124,13,FALSE)</f>
        <v>166636.84827143239</v>
      </c>
      <c r="M36" s="172">
        <f>VLOOKUP($A36,IKP!$Q$6:$AD$124,14,FALSE)</f>
        <v>203415.39521033078</v>
      </c>
      <c r="N36" s="132">
        <f>((-0.0000000006)*IKP!$J$5 + 0.0461)*J36</f>
        <v>4185.317290513045</v>
      </c>
      <c r="O36" s="132">
        <f>((-0.0000000006)*IKP!$K$5 + 0.0461)*K36</f>
        <v>4250.705401094564</v>
      </c>
      <c r="P36" s="132">
        <f>((-0.0000000006)*IKP!$L$5 + 0.0461)*L36</f>
        <v>4292.4692107595811</v>
      </c>
      <c r="Q36" s="172">
        <f>((-0.0000000006)*IKP!$M$5 + 0.0461)*M36</f>
        <v>4370.9702627013467</v>
      </c>
      <c r="R36" s="132">
        <f t="shared" si="1"/>
        <v>1004.4761497231308</v>
      </c>
      <c r="S36" s="132">
        <f t="shared" si="2"/>
        <v>1020.1692962626954</v>
      </c>
      <c r="T36" s="132">
        <f t="shared" si="3"/>
        <v>1030.1926105822995</v>
      </c>
      <c r="U36" s="172">
        <f t="shared" si="4"/>
        <v>1049.0328630483232</v>
      </c>
      <c r="V36" s="175"/>
      <c r="W36" s="175"/>
    </row>
    <row r="37" spans="1:23" hidden="1" outlineLevel="1" x14ac:dyDescent="0.3">
      <c r="A37" s="98" t="s">
        <v>32</v>
      </c>
      <c r="B37" s="176" t="s">
        <v>67</v>
      </c>
      <c r="C37" s="176" t="s">
        <v>67</v>
      </c>
      <c r="D37" s="176" t="s">
        <v>437</v>
      </c>
      <c r="E37" s="180">
        <v>510</v>
      </c>
      <c r="F37" s="132">
        <f>VLOOKUP(A37,Iedz_sk!$B$5:$Y$123,15,FALSE)</f>
        <v>2362</v>
      </c>
      <c r="G37" s="132">
        <f>VLOOKUP(A37,Iedz_sk!$B$5:$Y$123,16,FALSE)</f>
        <v>2316</v>
      </c>
      <c r="H37" s="132">
        <f>VLOOKUP(A37,Iedz_sk!$B$5:$Y$123,17,FALSE)</f>
        <v>2270</v>
      </c>
      <c r="I37" s="172">
        <f>VLOOKUP(A37,Iedz_sk!$B$5:$Y$123,24,FALSE)</f>
        <v>1950</v>
      </c>
      <c r="J37" s="133">
        <f>VLOOKUP($A37,IKP!$Q$6:$AC$124,11,FALSE)</f>
        <v>15532.278679271749</v>
      </c>
      <c r="K37" s="133">
        <f>VLOOKUP($A37,IKP!$Q$6:$AC$124,12,FALSE)</f>
        <v>16382.402732200253</v>
      </c>
      <c r="L37" s="133">
        <f>VLOOKUP($A37,IKP!$Q$6:$AC$124,13,FALSE)</f>
        <v>17068.009587708482</v>
      </c>
      <c r="M37" s="172">
        <f>VLOOKUP($A37,IKP!$Q$6:$AD$124,14,FALSE)</f>
        <v>21332.565365953415</v>
      </c>
      <c r="N37" s="132">
        <f>((-0.0000000006)*IKP!$J$5 + 0.0461)*J37</f>
        <v>426.43818296426946</v>
      </c>
      <c r="O37" s="132">
        <f>((-0.0000000006)*IKP!$K$5 + 0.0461)*K37</f>
        <v>434.20033667165376</v>
      </c>
      <c r="P37" s="132">
        <f>((-0.0000000006)*IKP!$L$5 + 0.0461)*L37</f>
        <v>439.66209397365373</v>
      </c>
      <c r="Q37" s="172">
        <f>((-0.0000000006)*IKP!$M$5 + 0.0461)*M37</f>
        <v>458.3920934071931</v>
      </c>
      <c r="R37" s="132">
        <f t="shared" si="1"/>
        <v>102.34516391142468</v>
      </c>
      <c r="S37" s="132">
        <f t="shared" si="2"/>
        <v>104.2080808011969</v>
      </c>
      <c r="T37" s="132">
        <f t="shared" si="3"/>
        <v>105.5189025536769</v>
      </c>
      <c r="U37" s="172">
        <f t="shared" si="4"/>
        <v>110.01410241772635</v>
      </c>
      <c r="V37" s="175"/>
      <c r="W37" s="175"/>
    </row>
    <row r="38" spans="1:23" hidden="1" outlineLevel="1" x14ac:dyDescent="0.3">
      <c r="A38" s="98" t="s">
        <v>33</v>
      </c>
      <c r="B38" s="176" t="s">
        <v>56</v>
      </c>
      <c r="C38" s="176" t="s">
        <v>56</v>
      </c>
      <c r="D38" s="176" t="s">
        <v>437</v>
      </c>
      <c r="E38" s="180">
        <v>950</v>
      </c>
      <c r="F38" s="132">
        <f>VLOOKUP(A38,Iedz_sk!$B$5:$Y$123,15,FALSE)</f>
        <v>6475</v>
      </c>
      <c r="G38" s="132">
        <f>VLOOKUP(A38,Iedz_sk!$B$5:$Y$123,16,FALSE)</f>
        <v>6316</v>
      </c>
      <c r="H38" s="132">
        <f>VLOOKUP(A38,Iedz_sk!$B$5:$Y$123,17,FALSE)</f>
        <v>6156</v>
      </c>
      <c r="I38" s="172">
        <f>VLOOKUP(A38,Iedz_sk!$B$5:$Y$123,24,FALSE)</f>
        <v>5041</v>
      </c>
      <c r="J38" s="133">
        <f>VLOOKUP($A38,IKP!$Q$6:$AC$124,11,FALSE)</f>
        <v>42578.960393007867</v>
      </c>
      <c r="K38" s="133">
        <f>VLOOKUP($A38,IKP!$Q$6:$AC$124,12,FALSE)</f>
        <v>44676.707969160969</v>
      </c>
      <c r="L38" s="133">
        <f>VLOOKUP($A38,IKP!$Q$6:$AC$124,13,FALSE)</f>
        <v>46286.637454596217</v>
      </c>
      <c r="M38" s="172">
        <f>VLOOKUP($A38,IKP!$Q$6:$AD$124,14,FALSE)</f>
        <v>55147.416415267267</v>
      </c>
      <c r="N38" s="132">
        <f>((-0.0000000006)*IKP!$J$5 + 0.0461)*J38</f>
        <v>1169.0039096924829</v>
      </c>
      <c r="O38" s="132">
        <f>((-0.0000000006)*IKP!$K$5 + 0.0461)*K38</f>
        <v>1184.1145623567206</v>
      </c>
      <c r="P38" s="132">
        <f>((-0.0000000006)*IKP!$L$5 + 0.0461)*L38</f>
        <v>1192.3171147585076</v>
      </c>
      <c r="Q38" s="172">
        <f>((-0.0000000006)*IKP!$M$5 + 0.0461)*M38</f>
        <v>1185.0023296746976</v>
      </c>
      <c r="R38" s="132">
        <f t="shared" si="1"/>
        <v>280.56093832619587</v>
      </c>
      <c r="S38" s="132">
        <f t="shared" si="2"/>
        <v>284.18749496561293</v>
      </c>
      <c r="T38" s="132">
        <f t="shared" si="3"/>
        <v>286.15610754204187</v>
      </c>
      <c r="U38" s="172">
        <f t="shared" si="4"/>
        <v>284.40055912192742</v>
      </c>
      <c r="V38" s="175"/>
      <c r="W38" s="175"/>
    </row>
    <row r="39" spans="1:23" hidden="1" outlineLevel="1" x14ac:dyDescent="0.3">
      <c r="A39" s="98" t="s">
        <v>34</v>
      </c>
      <c r="B39" s="176" t="s">
        <v>443</v>
      </c>
      <c r="C39" s="176" t="s">
        <v>443</v>
      </c>
      <c r="D39" s="176" t="s">
        <v>437</v>
      </c>
      <c r="E39" s="180">
        <v>1876</v>
      </c>
      <c r="F39" s="132">
        <f>VLOOKUP(A39,Iedz_sk!$B$5:$Y$123,15,FALSE)</f>
        <v>19553</v>
      </c>
      <c r="G39" s="132">
        <f>VLOOKUP(A39,Iedz_sk!$B$5:$Y$123,16,FALSE)</f>
        <v>18967</v>
      </c>
      <c r="H39" s="132">
        <f>VLOOKUP(A39,Iedz_sk!$B$5:$Y$123,17,FALSE)</f>
        <v>18381</v>
      </c>
      <c r="I39" s="172">
        <f>VLOOKUP(A39,Iedz_sk!$B$5:$Y$123,24,FALSE)</f>
        <v>14277</v>
      </c>
      <c r="J39" s="133">
        <f>VLOOKUP($A39,IKP!$Q$6:$AC$124,11,FALSE)</f>
        <v>128578.59653505526</v>
      </c>
      <c r="K39" s="133">
        <f>VLOOKUP($A39,IKP!$Q$6:$AC$124,12,FALSE)</f>
        <v>134164.52185735846</v>
      </c>
      <c r="L39" s="133">
        <f>VLOOKUP($A39,IKP!$Q$6:$AC$124,13,FALSE)</f>
        <v>138205.76397870909</v>
      </c>
      <c r="M39" s="172">
        <f>VLOOKUP($A39,IKP!$Q$6:$AD$124,14,FALSE)</f>
        <v>156187.19781011125</v>
      </c>
      <c r="N39" s="132">
        <f>((-0.0000000006)*IKP!$J$5 + 0.0461)*J39</f>
        <v>3530.1209955547674</v>
      </c>
      <c r="O39" s="132">
        <f>((-0.0000000006)*IKP!$K$5 + 0.0461)*K39</f>
        <v>3555.9057796421657</v>
      </c>
      <c r="P39" s="132">
        <f>((-0.0000000006)*IKP!$L$5 + 0.0461)*L39</f>
        <v>3560.1008587355641</v>
      </c>
      <c r="Q39" s="172">
        <f>((-0.0000000006)*IKP!$M$5 + 0.0461)*M39</f>
        <v>3356.1353423458954</v>
      </c>
      <c r="R39" s="132">
        <f t="shared" ref="R39:R70" si="5">N39*$X$6*$X$5</f>
        <v>847.22903893314424</v>
      </c>
      <c r="S39" s="132">
        <f t="shared" ref="S39:S70" si="6">O39*$X$6*$X$5</f>
        <v>853.41738711411983</v>
      </c>
      <c r="T39" s="132">
        <f t="shared" ref="T39:T70" si="7">P39*$X$6*$X$5</f>
        <v>854.42420609653539</v>
      </c>
      <c r="U39" s="172">
        <f t="shared" si="4"/>
        <v>805.47248216301489</v>
      </c>
      <c r="V39" s="175"/>
      <c r="W39" s="175"/>
    </row>
    <row r="40" spans="1:23" hidden="1" outlineLevel="1" x14ac:dyDescent="0.3">
      <c r="A40" s="98" t="s">
        <v>35</v>
      </c>
      <c r="B40" s="176" t="s">
        <v>35</v>
      </c>
      <c r="C40" s="176" t="s">
        <v>35</v>
      </c>
      <c r="D40" s="176" t="s">
        <v>438</v>
      </c>
      <c r="E40" s="180">
        <v>888</v>
      </c>
      <c r="F40" s="132">
        <f>VLOOKUP(A40,Iedz_sk!$B$5:$Y$123,15,FALSE)</f>
        <v>19219</v>
      </c>
      <c r="G40" s="132">
        <f>VLOOKUP(A40,Iedz_sk!$B$5:$Y$123,16,FALSE)</f>
        <v>18842</v>
      </c>
      <c r="H40" s="132">
        <f>VLOOKUP(A40,Iedz_sk!$B$5:$Y$123,17,FALSE)</f>
        <v>18464</v>
      </c>
      <c r="I40" s="172">
        <f>VLOOKUP(A40,Iedz_sk!$B$5:$Y$123,24,FALSE)</f>
        <v>15822</v>
      </c>
      <c r="J40" s="133">
        <f>VLOOKUP($A40,IKP!$Q$6:$AC$124,11,FALSE)</f>
        <v>164018.81502434998</v>
      </c>
      <c r="K40" s="133">
        <f>VLOOKUP($A40,IKP!$Q$6:$AC$124,12,FALSE)</f>
        <v>171796.82331590465</v>
      </c>
      <c r="L40" s="133">
        <f>VLOOKUP($A40,IKP!$Q$6:$AC$124,13,FALSE)</f>
        <v>177686.95631881291</v>
      </c>
      <c r="M40" s="172">
        <f>VLOOKUP($A40,IKP!$Q$6:$AD$124,14,FALSE)</f>
        <v>208831.01501331659</v>
      </c>
      <c r="N40" s="132">
        <f>((-0.0000000006)*IKP!$J$5 + 0.0461)*J40</f>
        <v>4503.1309890337243</v>
      </c>
      <c r="O40" s="132">
        <f>((-0.0000000006)*IKP!$K$5 + 0.0461)*K40</f>
        <v>4553.3149039407099</v>
      </c>
      <c r="P40" s="132">
        <f>((-0.0000000006)*IKP!$L$5 + 0.0461)*L40</f>
        <v>4577.1136280116752</v>
      </c>
      <c r="Q40" s="172">
        <f>((-0.0000000006)*IKP!$M$5 + 0.0461)*M40</f>
        <v>4487.3405752259769</v>
      </c>
      <c r="R40" s="132">
        <f t="shared" si="5"/>
        <v>1080.7514373680938</v>
      </c>
      <c r="S40" s="132">
        <f t="shared" si="6"/>
        <v>1092.7955769457703</v>
      </c>
      <c r="T40" s="132">
        <f t="shared" si="7"/>
        <v>1098.5072707228021</v>
      </c>
      <c r="U40" s="172">
        <f t="shared" si="4"/>
        <v>1076.9617380542345</v>
      </c>
      <c r="V40" s="175"/>
      <c r="W40" s="175"/>
    </row>
    <row r="41" spans="1:23" hidden="1" outlineLevel="1" x14ac:dyDescent="0.3">
      <c r="A41" s="98" t="s">
        <v>36</v>
      </c>
      <c r="B41" s="176" t="s">
        <v>106</v>
      </c>
      <c r="C41" s="176" t="s">
        <v>106</v>
      </c>
      <c r="D41" s="176" t="s">
        <v>440</v>
      </c>
      <c r="E41" s="180">
        <v>676</v>
      </c>
      <c r="F41" s="132">
        <f>VLOOKUP(A41,Iedz_sk!$B$5:$Y$123,15,FALSE)</f>
        <v>3487</v>
      </c>
      <c r="G41" s="132">
        <f>VLOOKUP(A41,Iedz_sk!$B$5:$Y$123,16,FALSE)</f>
        <v>3431</v>
      </c>
      <c r="H41" s="132">
        <f>VLOOKUP(A41,Iedz_sk!$B$5:$Y$123,17,FALSE)</f>
        <v>3374</v>
      </c>
      <c r="I41" s="172">
        <f>VLOOKUP(A41,Iedz_sk!$B$5:$Y$123,24,FALSE)</f>
        <v>2979</v>
      </c>
      <c r="J41" s="133">
        <f>VLOOKUP($A41,IKP!$Q$6:$AC$124,11,FALSE)</f>
        <v>33409.523862990034</v>
      </c>
      <c r="K41" s="133">
        <f>VLOOKUP($A41,IKP!$Q$6:$AC$124,12,FALSE)</f>
        <v>35176.846975654684</v>
      </c>
      <c r="L41" s="133">
        <f>VLOOKUP($A41,IKP!$Q$6:$AC$124,13,FALSE)</f>
        <v>36570.730089855097</v>
      </c>
      <c r="M41" s="172">
        <f>VLOOKUP($A41,IKP!$Q$6:$AD$124,14,FALSE)</f>
        <v>44884.00450703867</v>
      </c>
      <c r="N41" s="132">
        <f>((-0.0000000006)*IKP!$J$5 + 0.0461)*J41</f>
        <v>917.25734156753254</v>
      </c>
      <c r="O41" s="132">
        <f>((-0.0000000006)*IKP!$K$5 + 0.0461)*K41</f>
        <v>932.3295886173803</v>
      </c>
      <c r="P41" s="132">
        <f>((-0.0000000006)*IKP!$L$5 + 0.0461)*L41</f>
        <v>942.04093844838894</v>
      </c>
      <c r="Q41" s="172">
        <f>((-0.0000000006)*IKP!$M$5 + 0.0461)*M41</f>
        <v>964.46313106420951</v>
      </c>
      <c r="R41" s="132">
        <f t="shared" si="5"/>
        <v>220.14176197620782</v>
      </c>
      <c r="S41" s="132">
        <f t="shared" si="6"/>
        <v>223.75910126817129</v>
      </c>
      <c r="T41" s="132">
        <f t="shared" si="7"/>
        <v>226.08982522761335</v>
      </c>
      <c r="U41" s="172">
        <f t="shared" si="4"/>
        <v>231.47115145541028</v>
      </c>
      <c r="V41" s="175"/>
      <c r="W41" s="175"/>
    </row>
    <row r="42" spans="1:23" hidden="1" outlineLevel="1" x14ac:dyDescent="0.3">
      <c r="A42" s="98" t="s">
        <v>37</v>
      </c>
      <c r="B42" s="176" t="s">
        <v>441</v>
      </c>
      <c r="C42" s="176" t="s">
        <v>441</v>
      </c>
      <c r="D42" s="176" t="s">
        <v>176</v>
      </c>
      <c r="E42" s="180">
        <v>320</v>
      </c>
      <c r="F42" s="132">
        <f>VLOOKUP(A42,Iedz_sk!$B$5:$Y$123,15,FALSE)</f>
        <v>2620</v>
      </c>
      <c r="G42" s="132">
        <f>VLOOKUP(A42,Iedz_sk!$B$5:$Y$123,16,FALSE)</f>
        <v>2563</v>
      </c>
      <c r="H42" s="132">
        <f>VLOOKUP(A42,Iedz_sk!$B$5:$Y$123,17,FALSE)</f>
        <v>2506</v>
      </c>
      <c r="I42" s="172">
        <f>VLOOKUP(A42,Iedz_sk!$B$5:$Y$123,24,FALSE)</f>
        <v>2107</v>
      </c>
      <c r="J42" s="133">
        <f>VLOOKUP($A42,IKP!$Q$6:$AC$124,11,FALSE)</f>
        <v>25102.653433046715</v>
      </c>
      <c r="K42" s="133">
        <f>VLOOKUP($A42,IKP!$Q$6:$AC$124,12,FALSE)</f>
        <v>26277.545554824526</v>
      </c>
      <c r="L42" s="133">
        <f>VLOOKUP($A42,IKP!$Q$6:$AC$124,13,FALSE)</f>
        <v>27162.49247337785</v>
      </c>
      <c r="M42" s="172">
        <f>VLOOKUP($A42,IKP!$Q$6:$AD$124,14,FALSE)</f>
        <v>31745.752768153903</v>
      </c>
      <c r="N42" s="132">
        <f>((-0.0000000006)*IKP!$J$5 + 0.0461)*J42</f>
        <v>689.19249638856763</v>
      </c>
      <c r="O42" s="132">
        <f>((-0.0000000006)*IKP!$K$5 + 0.0461)*K42</f>
        <v>696.46188738745138</v>
      </c>
      <c r="P42" s="132">
        <f>((-0.0000000006)*IKP!$L$5 + 0.0461)*L42</f>
        <v>699.69015760274522</v>
      </c>
      <c r="Q42" s="172">
        <f>((-0.0000000006)*IKP!$M$5 + 0.0461)*M42</f>
        <v>682.14965329046311</v>
      </c>
      <c r="R42" s="132">
        <f t="shared" si="5"/>
        <v>165.40619913325625</v>
      </c>
      <c r="S42" s="132">
        <f t="shared" si="6"/>
        <v>167.15085297298833</v>
      </c>
      <c r="T42" s="132">
        <f t="shared" si="7"/>
        <v>167.92563782465888</v>
      </c>
      <c r="U42" s="172">
        <f t="shared" si="4"/>
        <v>163.71591678971114</v>
      </c>
      <c r="V42" s="175"/>
      <c r="W42" s="175"/>
    </row>
    <row r="43" spans="1:23" hidden="1" outlineLevel="1" x14ac:dyDescent="0.3">
      <c r="A43" s="98" t="s">
        <v>38</v>
      </c>
      <c r="B43" s="176" t="s">
        <v>108</v>
      </c>
      <c r="C43" s="176" t="s">
        <v>108</v>
      </c>
      <c r="D43" s="176" t="s">
        <v>440</v>
      </c>
      <c r="E43" s="180">
        <v>396</v>
      </c>
      <c r="F43" s="132">
        <f>VLOOKUP(A43,Iedz_sk!$B$5:$Y$123,15,FALSE)</f>
        <v>7147</v>
      </c>
      <c r="G43" s="132">
        <f>VLOOKUP(A43,Iedz_sk!$B$5:$Y$123,16,FALSE)</f>
        <v>7052</v>
      </c>
      <c r="H43" s="132">
        <f>VLOOKUP(A43,Iedz_sk!$B$5:$Y$123,17,FALSE)</f>
        <v>6956</v>
      </c>
      <c r="I43" s="172">
        <f>VLOOKUP(A43,Iedz_sk!$B$5:$Y$123,24,FALSE)</f>
        <v>6288</v>
      </c>
      <c r="J43" s="133">
        <f>VLOOKUP($A43,IKP!$Q$6:$AC$124,11,FALSE)</f>
        <v>92718.887462982471</v>
      </c>
      <c r="K43" s="133">
        <f>VLOOKUP($A43,IKP!$Q$6:$AC$124,12,FALSE)</f>
        <v>96449.754703222963</v>
      </c>
      <c r="L43" s="133">
        <f>VLOOKUP($A43,IKP!$Q$6:$AC$124,13,FALSE)</f>
        <v>99058.463293900029</v>
      </c>
      <c r="M43" s="172">
        <f>VLOOKUP($A43,IKP!$Q$6:$AD$124,14,FALSE)</f>
        <v>110760.6999877436</v>
      </c>
      <c r="N43" s="132">
        <f>((-0.0000000006)*IKP!$J$5 + 0.0461)*J43</f>
        <v>2545.5939023904161</v>
      </c>
      <c r="O43" s="132">
        <f>((-0.0000000006)*IKP!$K$5 + 0.0461)*K43</f>
        <v>2556.310978836088</v>
      </c>
      <c r="P43" s="132">
        <f>((-0.0000000006)*IKP!$L$5 + 0.0461)*L43</f>
        <v>2551.6889461424098</v>
      </c>
      <c r="Q43" s="172">
        <f>((-0.0000000006)*IKP!$M$5 + 0.0461)*M43</f>
        <v>2380.0151675925131</v>
      </c>
      <c r="R43" s="132">
        <f t="shared" si="5"/>
        <v>610.94253657369984</v>
      </c>
      <c r="S43" s="132">
        <f t="shared" si="6"/>
        <v>613.51463492066114</v>
      </c>
      <c r="T43" s="132">
        <f t="shared" si="7"/>
        <v>612.40534707417839</v>
      </c>
      <c r="U43" s="172">
        <f t="shared" si="4"/>
        <v>571.20364022220315</v>
      </c>
      <c r="V43" s="175"/>
      <c r="W43" s="175"/>
    </row>
    <row r="44" spans="1:23" hidden="1" outlineLevel="1" x14ac:dyDescent="0.3">
      <c r="A44" s="98" t="s">
        <v>39</v>
      </c>
      <c r="B44" s="176" t="s">
        <v>68</v>
      </c>
      <c r="C44" s="176" t="s">
        <v>68</v>
      </c>
      <c r="D44" s="176" t="s">
        <v>439</v>
      </c>
      <c r="E44" s="180">
        <v>379</v>
      </c>
      <c r="F44" s="132">
        <f>VLOOKUP(A44,Iedz_sk!$B$5:$Y$123,15,FALSE)</f>
        <v>2600</v>
      </c>
      <c r="G44" s="132">
        <f>VLOOKUP(A44,Iedz_sk!$B$5:$Y$123,16,FALSE)</f>
        <v>2533</v>
      </c>
      <c r="H44" s="132">
        <f>VLOOKUP(A44,Iedz_sk!$B$5:$Y$123,17,FALSE)</f>
        <v>2466</v>
      </c>
      <c r="I44" s="172">
        <f>VLOOKUP(A44,Iedz_sk!$B$5:$Y$123,24,FALSE)</f>
        <v>1998</v>
      </c>
      <c r="J44" s="133">
        <f>VLOOKUP($A44,IKP!$Q$6:$AC$124,11,FALSE)</f>
        <v>24552.54856062627</v>
      </c>
      <c r="K44" s="133">
        <f>VLOOKUP($A44,IKP!$Q$6:$AC$124,12,FALSE)</f>
        <v>25735.881762244117</v>
      </c>
      <c r="L44" s="133">
        <f>VLOOKUP($A44,IKP!$Q$6:$AC$124,13,FALSE)</f>
        <v>26638.562675829919</v>
      </c>
      <c r="M44" s="172">
        <f>VLOOKUP($A44,IKP!$Q$6:$AD$124,14,FALSE)</f>
        <v>31461.833072475685</v>
      </c>
      <c r="N44" s="132">
        <f>((-0.0000000006)*IKP!$J$5 + 0.0461)*J44</f>
        <v>674.08938582258054</v>
      </c>
      <c r="O44" s="132">
        <f>((-0.0000000006)*IKP!$K$5 + 0.0461)*K44</f>
        <v>682.10559271286229</v>
      </c>
      <c r="P44" s="132">
        <f>((-0.0000000006)*IKP!$L$5 + 0.0461)*L44</f>
        <v>686.19402785771604</v>
      </c>
      <c r="Q44" s="172">
        <f>((-0.0000000006)*IKP!$M$5 + 0.0461)*M44</f>
        <v>676.0488144354614</v>
      </c>
      <c r="R44" s="132">
        <f t="shared" si="5"/>
        <v>161.78145259741933</v>
      </c>
      <c r="S44" s="132">
        <f t="shared" si="6"/>
        <v>163.70534225108693</v>
      </c>
      <c r="T44" s="132">
        <f t="shared" si="7"/>
        <v>164.68656668585186</v>
      </c>
      <c r="U44" s="172">
        <f t="shared" si="4"/>
        <v>162.25171546451074</v>
      </c>
      <c r="V44" s="175"/>
      <c r="W44" s="175"/>
    </row>
    <row r="45" spans="1:23" hidden="1" outlineLevel="1" x14ac:dyDescent="0.3">
      <c r="A45" s="98" t="s">
        <v>40</v>
      </c>
      <c r="B45" s="176" t="s">
        <v>89</v>
      </c>
      <c r="C45" s="176" t="s">
        <v>89</v>
      </c>
      <c r="D45" s="176" t="s">
        <v>438</v>
      </c>
      <c r="E45" s="180">
        <v>152</v>
      </c>
      <c r="F45" s="132">
        <f>VLOOKUP(A45,Iedz_sk!$B$5:$Y$123,15,FALSE)</f>
        <v>9425</v>
      </c>
      <c r="G45" s="132">
        <f>VLOOKUP(A45,Iedz_sk!$B$5:$Y$123,16,FALSE)</f>
        <v>9469</v>
      </c>
      <c r="H45" s="132">
        <f>VLOOKUP(A45,Iedz_sk!$B$5:$Y$123,17,FALSE)</f>
        <v>9512</v>
      </c>
      <c r="I45" s="172">
        <f>VLOOKUP(A45,Iedz_sk!$B$5:$Y$123,24,FALSE)</f>
        <v>9817</v>
      </c>
      <c r="J45" s="133">
        <f>VLOOKUP($A45,IKP!$Q$6:$AC$124,11,FALSE)</f>
        <v>122271.65444782563</v>
      </c>
      <c r="K45" s="133">
        <f>VLOOKUP($A45,IKP!$Q$6:$AC$124,12,FALSE)</f>
        <v>129506.90971140361</v>
      </c>
      <c r="L45" s="133">
        <f>VLOOKUP($A45,IKP!$Q$6:$AC$124,13,FALSE)</f>
        <v>135457.74911609793</v>
      </c>
      <c r="M45" s="172">
        <f>VLOOKUP($A45,IKP!$Q$6:$AD$124,14,FALSE)</f>
        <v>172922.67680974538</v>
      </c>
      <c r="N45" s="132">
        <f>((-0.0000000006)*IKP!$J$5 + 0.0461)*J45</f>
        <v>3356.9641150174434</v>
      </c>
      <c r="O45" s="132">
        <f>((-0.0000000006)*IKP!$K$5 + 0.0461)*K45</f>
        <v>3432.4601047360916</v>
      </c>
      <c r="P45" s="132">
        <f>((-0.0000000006)*IKP!$L$5 + 0.0461)*L45</f>
        <v>3489.3135790262513</v>
      </c>
      <c r="Q45" s="172">
        <f>((-0.0000000006)*IKP!$M$5 + 0.0461)*M45</f>
        <v>3715.7456902442268</v>
      </c>
      <c r="R45" s="132">
        <f t="shared" si="5"/>
        <v>805.67138760418641</v>
      </c>
      <c r="S45" s="132">
        <f t="shared" si="6"/>
        <v>823.79042513666207</v>
      </c>
      <c r="T45" s="132">
        <f t="shared" si="7"/>
        <v>837.43525896630035</v>
      </c>
      <c r="U45" s="172">
        <f t="shared" si="4"/>
        <v>891.77896565861454</v>
      </c>
      <c r="V45" s="175"/>
      <c r="W45" s="175"/>
    </row>
    <row r="46" spans="1:23" hidden="1" outlineLevel="1" x14ac:dyDescent="0.3">
      <c r="A46" s="98" t="s">
        <v>41</v>
      </c>
      <c r="B46" s="176" t="s">
        <v>441</v>
      </c>
      <c r="C46" s="176" t="s">
        <v>441</v>
      </c>
      <c r="D46" s="176" t="s">
        <v>176</v>
      </c>
      <c r="E46" s="180">
        <v>490</v>
      </c>
      <c r="F46" s="132">
        <f>VLOOKUP(A46,Iedz_sk!$B$5:$Y$123,15,FALSE)</f>
        <v>8329</v>
      </c>
      <c r="G46" s="132">
        <f>VLOOKUP(A46,Iedz_sk!$B$5:$Y$123,16,FALSE)</f>
        <v>8186</v>
      </c>
      <c r="H46" s="132">
        <f>VLOOKUP(A46,Iedz_sk!$B$5:$Y$123,17,FALSE)</f>
        <v>8043</v>
      </c>
      <c r="I46" s="172">
        <f>VLOOKUP(A46,Iedz_sk!$B$5:$Y$123,24,FALSE)</f>
        <v>7041</v>
      </c>
      <c r="J46" s="133">
        <f>VLOOKUP($A46,IKP!$Q$6:$AC$124,11,FALSE)</f>
        <v>79801.526886964159</v>
      </c>
      <c r="K46" s="133">
        <f>VLOOKUP($A46,IKP!$Q$6:$AC$124,12,FALSE)</f>
        <v>83928.204413497297</v>
      </c>
      <c r="L46" s="133">
        <f>VLOOKUP($A46,IKP!$Q$6:$AC$124,13,FALSE)</f>
        <v>87177.943720422205</v>
      </c>
      <c r="M46" s="172">
        <f>VLOOKUP($A46,IKP!$Q$6:$AD$124,14,FALSE)</f>
        <v>106085.35607051334</v>
      </c>
      <c r="N46" s="132">
        <f>((-0.0000000006)*IKP!$J$5 + 0.0461)*J46</f>
        <v>2190.9482070306794</v>
      </c>
      <c r="O46" s="132">
        <f>((-0.0000000006)*IKP!$K$5 + 0.0461)*K46</f>
        <v>2224.438942705297</v>
      </c>
      <c r="P46" s="132">
        <f>((-0.0000000006)*IKP!$L$5 + 0.0461)*L46</f>
        <v>2245.65360638423</v>
      </c>
      <c r="Q46" s="172">
        <f>((-0.0000000006)*IKP!$M$5 + 0.0461)*M46</f>
        <v>2279.5518314276933</v>
      </c>
      <c r="R46" s="132">
        <f t="shared" si="5"/>
        <v>525.82756968736305</v>
      </c>
      <c r="S46" s="132">
        <f t="shared" si="6"/>
        <v>533.86534624927128</v>
      </c>
      <c r="T46" s="132">
        <f t="shared" si="7"/>
        <v>538.95686553221526</v>
      </c>
      <c r="U46" s="172">
        <f t="shared" si="4"/>
        <v>547.09243954264639</v>
      </c>
      <c r="V46" s="175"/>
      <c r="W46" s="175"/>
    </row>
    <row r="47" spans="1:23" hidden="1" outlineLevel="1" x14ac:dyDescent="0.3">
      <c r="A47" s="98" t="s">
        <v>42</v>
      </c>
      <c r="B47" s="176" t="s">
        <v>42</v>
      </c>
      <c r="C47" s="176" t="s">
        <v>42</v>
      </c>
      <c r="D47" s="176" t="s">
        <v>439</v>
      </c>
      <c r="E47" s="180">
        <v>1872</v>
      </c>
      <c r="F47" s="132">
        <f>VLOOKUP(A47,Iedz_sk!$B$5:$Y$123,15,FALSE)</f>
        <v>19619</v>
      </c>
      <c r="G47" s="132">
        <f>VLOOKUP(A47,Iedz_sk!$B$5:$Y$123,16,FALSE)</f>
        <v>19190</v>
      </c>
      <c r="H47" s="132">
        <f>VLOOKUP(A47,Iedz_sk!$B$5:$Y$123,17,FALSE)</f>
        <v>18761</v>
      </c>
      <c r="I47" s="172">
        <f>VLOOKUP(A47,Iedz_sk!$B$5:$Y$123,24,FALSE)</f>
        <v>15759</v>
      </c>
      <c r="J47" s="133">
        <f>VLOOKUP($A47,IKP!$Q$6:$AC$124,11,FALSE)</f>
        <v>185267.86546574108</v>
      </c>
      <c r="K47" s="133">
        <f>VLOOKUP($A47,IKP!$Q$6:$AC$124,12,FALSE)</f>
        <v>194974.95894886088</v>
      </c>
      <c r="L47" s="133">
        <f>VLOOKUP($A47,IKP!$Q$6:$AC$124,13,FALSE)</f>
        <v>202662.64167122671</v>
      </c>
      <c r="M47" s="172">
        <f>VLOOKUP($A47,IKP!$Q$6:$AD$124,14,FALSE)</f>
        <v>248151.66535993211</v>
      </c>
      <c r="N47" s="132">
        <f>((-0.0000000006)*IKP!$J$5 + 0.0461)*J47</f>
        <v>5086.5229463281566</v>
      </c>
      <c r="O47" s="132">
        <f>((-0.0000000006)*IKP!$K$5 + 0.0461)*K47</f>
        <v>5167.629816091523</v>
      </c>
      <c r="P47" s="132">
        <f>((-0.0000000006)*IKP!$L$5 + 0.0461)*L47</f>
        <v>5220.4728940140349</v>
      </c>
      <c r="Q47" s="172">
        <f>((-0.0000000006)*IKP!$M$5 + 0.0461)*M47</f>
        <v>5332.2588922364548</v>
      </c>
      <c r="R47" s="132">
        <f t="shared" si="5"/>
        <v>1220.7655071187576</v>
      </c>
      <c r="S47" s="132">
        <f t="shared" si="6"/>
        <v>1240.2311558619656</v>
      </c>
      <c r="T47" s="132">
        <f t="shared" si="7"/>
        <v>1252.9134945633684</v>
      </c>
      <c r="U47" s="172">
        <f t="shared" si="4"/>
        <v>1279.7421341367492</v>
      </c>
      <c r="V47" s="175"/>
      <c r="W47" s="175"/>
    </row>
    <row r="48" spans="1:23" hidden="1" outlineLevel="1" x14ac:dyDescent="0.3">
      <c r="A48" s="98" t="s">
        <v>43</v>
      </c>
      <c r="B48" s="176" t="s">
        <v>25</v>
      </c>
      <c r="C48" s="176" t="s">
        <v>25</v>
      </c>
      <c r="D48" s="176" t="s">
        <v>438</v>
      </c>
      <c r="E48" s="180">
        <v>312</v>
      </c>
      <c r="F48" s="132">
        <f>VLOOKUP(A48,Iedz_sk!$B$5:$Y$123,15,FALSE)</f>
        <v>8411</v>
      </c>
      <c r="G48" s="132">
        <f>VLOOKUP(A48,Iedz_sk!$B$5:$Y$123,16,FALSE)</f>
        <v>8295</v>
      </c>
      <c r="H48" s="132">
        <f>VLOOKUP(A48,Iedz_sk!$B$5:$Y$123,17,FALSE)</f>
        <v>8179</v>
      </c>
      <c r="I48" s="172">
        <f>VLOOKUP(A48,Iedz_sk!$B$5:$Y$123,24,FALSE)</f>
        <v>7365</v>
      </c>
      <c r="J48" s="133">
        <f>VLOOKUP($A48,IKP!$Q$6:$AC$124,11,FALSE)</f>
        <v>71781.167239180388</v>
      </c>
      <c r="K48" s="133">
        <f>VLOOKUP($A48,IKP!$Q$6:$AC$124,12,FALSE)</f>
        <v>75631.814531654236</v>
      </c>
      <c r="L48" s="133">
        <f>VLOOKUP($A48,IKP!$Q$6:$AC$124,13,FALSE)</f>
        <v>78710.009517524421</v>
      </c>
      <c r="M48" s="172">
        <f>VLOOKUP($A48,IKP!$Q$6:$AD$124,14,FALSE)</f>
        <v>97208.976461450933</v>
      </c>
      <c r="N48" s="132">
        <f>((-0.0000000006)*IKP!$J$5 + 0.0461)*J48</f>
        <v>1970.7495056331059</v>
      </c>
      <c r="O48" s="132">
        <f>((-0.0000000006)*IKP!$K$5 + 0.0461)*K48</f>
        <v>2004.5508506627846</v>
      </c>
      <c r="P48" s="132">
        <f>((-0.0000000006)*IKP!$L$5 + 0.0461)*L48</f>
        <v>2027.5244997566886</v>
      </c>
      <c r="Q48" s="172">
        <f>((-0.0000000006)*IKP!$M$5 + 0.0461)*M48</f>
        <v>2088.8170481948755</v>
      </c>
      <c r="R48" s="132">
        <f t="shared" si="5"/>
        <v>472.97988135194544</v>
      </c>
      <c r="S48" s="132">
        <f t="shared" si="6"/>
        <v>481.09220415906827</v>
      </c>
      <c r="T48" s="132">
        <f t="shared" si="7"/>
        <v>486.60587994160528</v>
      </c>
      <c r="U48" s="172">
        <f t="shared" si="4"/>
        <v>501.31609156677013</v>
      </c>
      <c r="V48" s="175"/>
      <c r="W48" s="175"/>
    </row>
    <row r="49" spans="1:23" hidden="1" outlineLevel="1" x14ac:dyDescent="0.3">
      <c r="A49" s="98" t="s">
        <v>44</v>
      </c>
      <c r="B49" s="176" t="s">
        <v>76</v>
      </c>
      <c r="C49" s="176" t="s">
        <v>76</v>
      </c>
      <c r="D49" s="176" t="s">
        <v>438</v>
      </c>
      <c r="E49" s="180">
        <v>131</v>
      </c>
      <c r="F49" s="132">
        <f>VLOOKUP(A49,Iedz_sk!$B$5:$Y$123,15,FALSE)</f>
        <v>9967</v>
      </c>
      <c r="G49" s="132">
        <f>VLOOKUP(A49,Iedz_sk!$B$5:$Y$123,16,FALSE)</f>
        <v>10074</v>
      </c>
      <c r="H49" s="132">
        <f>VLOOKUP(A49,Iedz_sk!$B$5:$Y$123,17,FALSE)</f>
        <v>10181</v>
      </c>
      <c r="I49" s="172">
        <f>VLOOKUP(A49,Iedz_sk!$B$5:$Y$123,24,FALSE)</f>
        <v>10930</v>
      </c>
      <c r="J49" s="133">
        <f>VLOOKUP($A49,IKP!$Q$6:$AC$124,11,FALSE)</f>
        <v>129303.08539856531</v>
      </c>
      <c r="K49" s="133">
        <f>VLOOKUP($A49,IKP!$Q$6:$AC$124,12,FALSE)</f>
        <v>137781.4561656648</v>
      </c>
      <c r="L49" s="133">
        <f>VLOOKUP($A49,IKP!$Q$6:$AC$124,13,FALSE)</f>
        <v>144984.79223622716</v>
      </c>
      <c r="M49" s="172">
        <f>VLOOKUP($A49,IKP!$Q$6:$AD$124,14,FALSE)</f>
        <v>192527.7434583393</v>
      </c>
      <c r="N49" s="132">
        <f>((-0.0000000006)*IKP!$J$5 + 0.0461)*J49</f>
        <v>3550.0118126661919</v>
      </c>
      <c r="O49" s="132">
        <f>((-0.0000000006)*IKP!$K$5 + 0.0461)*K49</f>
        <v>3651.769257061082</v>
      </c>
      <c r="P49" s="132">
        <f>((-0.0000000006)*IKP!$L$5 + 0.0461)*L49</f>
        <v>3734.7247212012471</v>
      </c>
      <c r="Q49" s="172">
        <f>((-0.0000000006)*IKP!$M$5 + 0.0461)*M49</f>
        <v>4137.0174589354592</v>
      </c>
      <c r="R49" s="132">
        <f t="shared" si="5"/>
        <v>852.00283503988601</v>
      </c>
      <c r="S49" s="132">
        <f t="shared" si="6"/>
        <v>876.42462169465978</v>
      </c>
      <c r="T49" s="132">
        <f t="shared" si="7"/>
        <v>896.33393308829932</v>
      </c>
      <c r="U49" s="172">
        <f t="shared" si="4"/>
        <v>992.88419014451017</v>
      </c>
      <c r="V49" s="175"/>
      <c r="W49" s="175"/>
    </row>
    <row r="50" spans="1:23" hidden="1" outlineLevel="1" x14ac:dyDescent="0.3">
      <c r="A50" s="98" t="s">
        <v>45</v>
      </c>
      <c r="B50" s="176" t="s">
        <v>443</v>
      </c>
      <c r="C50" s="176" t="s">
        <v>443</v>
      </c>
      <c r="D50" s="176" t="s">
        <v>437</v>
      </c>
      <c r="E50" s="180">
        <v>647</v>
      </c>
      <c r="F50" s="132">
        <f>VLOOKUP(A50,Iedz_sk!$B$5:$Y$123,15,FALSE)</f>
        <v>6374</v>
      </c>
      <c r="G50" s="132">
        <f>VLOOKUP(A50,Iedz_sk!$B$5:$Y$123,16,FALSE)</f>
        <v>6227</v>
      </c>
      <c r="H50" s="132">
        <f>VLOOKUP(A50,Iedz_sk!$B$5:$Y$123,17,FALSE)</f>
        <v>6081</v>
      </c>
      <c r="I50" s="172">
        <f>VLOOKUP(A50,Iedz_sk!$B$5:$Y$123,24,FALSE)</f>
        <v>5054</v>
      </c>
      <c r="J50" s="133">
        <f>VLOOKUP($A50,IKP!$Q$6:$AC$124,11,FALSE)</f>
        <v>41914.794369889132</v>
      </c>
      <c r="K50" s="133">
        <f>VLOOKUP($A50,IKP!$Q$6:$AC$124,12,FALSE)</f>
        <v>44047.159677638592</v>
      </c>
      <c r="L50" s="133">
        <f>VLOOKUP($A50,IKP!$Q$6:$AC$124,13,FALSE)</f>
        <v>45722.716432975896</v>
      </c>
      <c r="M50" s="172">
        <f>VLOOKUP($A50,IKP!$Q$6:$AD$124,14,FALSE)</f>
        <v>55289.633517706956</v>
      </c>
      <c r="N50" s="132">
        <f>((-0.0000000006)*IKP!$J$5 + 0.0461)*J50</f>
        <v>1150.7692541127237</v>
      </c>
      <c r="O50" s="132">
        <f>((-0.0000000006)*IKP!$K$5 + 0.0461)*K50</f>
        <v>1167.428970835228</v>
      </c>
      <c r="P50" s="132">
        <f>((-0.0000000006)*IKP!$L$5 + 0.0461)*L50</f>
        <v>1177.7908341206116</v>
      </c>
      <c r="Q50" s="172">
        <f>((-0.0000000006)*IKP!$M$5 + 0.0461)*M50</f>
        <v>1188.0582769640789</v>
      </c>
      <c r="R50" s="132">
        <f t="shared" si="5"/>
        <v>276.18462098705373</v>
      </c>
      <c r="S50" s="132">
        <f t="shared" si="6"/>
        <v>280.18295300045475</v>
      </c>
      <c r="T50" s="132">
        <f t="shared" si="7"/>
        <v>282.66980018894679</v>
      </c>
      <c r="U50" s="172">
        <f t="shared" si="4"/>
        <v>285.13398647137893</v>
      </c>
      <c r="V50" s="175"/>
      <c r="W50" s="175"/>
    </row>
    <row r="51" spans="1:23" hidden="1" outlineLevel="1" x14ac:dyDescent="0.3">
      <c r="A51" s="98" t="s">
        <v>46</v>
      </c>
      <c r="B51" s="176" t="s">
        <v>100</v>
      </c>
      <c r="C51" s="176" t="s">
        <v>100</v>
      </c>
      <c r="D51" s="176" t="s">
        <v>438</v>
      </c>
      <c r="E51" s="180">
        <v>112</v>
      </c>
      <c r="F51" s="132">
        <f>VLOOKUP(A51,Iedz_sk!$B$5:$Y$123,15,FALSE)</f>
        <v>7622</v>
      </c>
      <c r="G51" s="132">
        <f>VLOOKUP(A51,Iedz_sk!$B$5:$Y$123,16,FALSE)</f>
        <v>7548</v>
      </c>
      <c r="H51" s="132">
        <f>VLOOKUP(A51,Iedz_sk!$B$5:$Y$123,17,FALSE)</f>
        <v>7474</v>
      </c>
      <c r="I51" s="172">
        <f>VLOOKUP(A51,Iedz_sk!$B$5:$Y$123,24,FALSE)</f>
        <v>6957</v>
      </c>
      <c r="J51" s="133">
        <f>VLOOKUP($A51,IKP!$Q$6:$AC$124,11,FALSE)</f>
        <v>98881.119384756166</v>
      </c>
      <c r="K51" s="133">
        <f>VLOOKUP($A51,IKP!$Q$6:$AC$124,12,FALSE)</f>
        <v>103233.51510208833</v>
      </c>
      <c r="L51" s="133">
        <f>VLOOKUP($A51,IKP!$Q$6:$AC$124,13,FALSE)</f>
        <v>106435.1573689777</v>
      </c>
      <c r="M51" s="172">
        <f>VLOOKUP($A51,IKP!$Q$6:$AD$124,14,FALSE)</f>
        <v>122544.87751506557</v>
      </c>
      <c r="N51" s="132">
        <f>((-0.0000000006)*IKP!$J$5 + 0.0461)*J51</f>
        <v>2714.7777702560161</v>
      </c>
      <c r="O51" s="132">
        <f>((-0.0000000006)*IKP!$K$5 + 0.0461)*K51</f>
        <v>2736.1082342959148</v>
      </c>
      <c r="P51" s="132">
        <f>((-0.0000000006)*IKP!$L$5 + 0.0461)*L51</f>
        <v>2741.70833574876</v>
      </c>
      <c r="Q51" s="172">
        <f>((-0.0000000006)*IKP!$M$5 + 0.0461)*M51</f>
        <v>2633.2324301751137</v>
      </c>
      <c r="R51" s="132">
        <f t="shared" si="5"/>
        <v>651.54666486144379</v>
      </c>
      <c r="S51" s="132">
        <f t="shared" si="6"/>
        <v>656.66597623101961</v>
      </c>
      <c r="T51" s="132">
        <f t="shared" si="7"/>
        <v>658.01000057970236</v>
      </c>
      <c r="U51" s="172">
        <f t="shared" si="4"/>
        <v>631.97578324202732</v>
      </c>
      <c r="V51" s="175"/>
      <c r="W51" s="175"/>
    </row>
    <row r="52" spans="1:23" hidden="1" outlineLevel="1" x14ac:dyDescent="0.3">
      <c r="A52" s="98" t="s">
        <v>47</v>
      </c>
      <c r="B52" s="176" t="s">
        <v>11</v>
      </c>
      <c r="C52" s="176" t="s">
        <v>11</v>
      </c>
      <c r="D52" s="176" t="s">
        <v>438</v>
      </c>
      <c r="E52" s="180">
        <v>684</v>
      </c>
      <c r="F52" s="132">
        <f>VLOOKUP(A52,Iedz_sk!$B$5:$Y$123,15,FALSE)</f>
        <v>5039</v>
      </c>
      <c r="G52" s="132">
        <f>VLOOKUP(A52,Iedz_sk!$B$5:$Y$123,16,FALSE)</f>
        <v>4966</v>
      </c>
      <c r="H52" s="132">
        <f>VLOOKUP(A52,Iedz_sk!$B$5:$Y$123,17,FALSE)</f>
        <v>4893</v>
      </c>
      <c r="I52" s="172">
        <f>VLOOKUP(A52,Iedz_sk!$B$5:$Y$123,24,FALSE)</f>
        <v>4382</v>
      </c>
      <c r="J52" s="133">
        <f>VLOOKUP($A52,IKP!$Q$6:$AC$124,11,FALSE)</f>
        <v>43003.840413533464</v>
      </c>
      <c r="K52" s="133">
        <f>VLOOKUP($A52,IKP!$Q$6:$AC$124,12,FALSE)</f>
        <v>45278.793365183235</v>
      </c>
      <c r="L52" s="133">
        <f>VLOOKUP($A52,IKP!$Q$6:$AC$124,13,FALSE)</f>
        <v>47087.428361565835</v>
      </c>
      <c r="M52" s="172">
        <f>VLOOKUP($A52,IKP!$Q$6:$AD$124,14,FALSE)</f>
        <v>57837.031208971894</v>
      </c>
      <c r="N52" s="132">
        <f>((-0.0000000006)*IKP!$J$5 + 0.0461)*J52</f>
        <v>1180.6689762079682</v>
      </c>
      <c r="O52" s="132">
        <f>((-0.0000000006)*IKP!$K$5 + 0.0461)*K52</f>
        <v>1200.072275393778</v>
      </c>
      <c r="P52" s="132">
        <f>((-0.0000000006)*IKP!$L$5 + 0.0461)*L52</f>
        <v>1212.9450271805204</v>
      </c>
      <c r="Q52" s="172">
        <f>((-0.0000000006)*IKP!$M$5 + 0.0461)*M52</f>
        <v>1242.7965112274196</v>
      </c>
      <c r="R52" s="132">
        <f t="shared" si="5"/>
        <v>283.36055428991239</v>
      </c>
      <c r="S52" s="132">
        <f t="shared" si="6"/>
        <v>288.01734609450671</v>
      </c>
      <c r="T52" s="132">
        <f t="shared" si="7"/>
        <v>291.10680652332491</v>
      </c>
      <c r="U52" s="172">
        <f t="shared" si="4"/>
        <v>298.27116269458071</v>
      </c>
      <c r="V52" s="175"/>
      <c r="W52" s="175"/>
    </row>
    <row r="53" spans="1:23" hidden="1" outlineLevel="1" x14ac:dyDescent="0.3">
      <c r="A53" s="98" t="s">
        <v>48</v>
      </c>
      <c r="B53" s="176" t="s">
        <v>31</v>
      </c>
      <c r="C53" s="176" t="s">
        <v>31</v>
      </c>
      <c r="D53" s="176" t="s">
        <v>439</v>
      </c>
      <c r="E53" s="180">
        <v>251</v>
      </c>
      <c r="F53" s="132">
        <f>VLOOKUP(A53,Iedz_sk!$B$5:$Y$123,15,FALSE)</f>
        <v>1992</v>
      </c>
      <c r="G53" s="132">
        <f>VLOOKUP(A53,Iedz_sk!$B$5:$Y$123,16,FALSE)</f>
        <v>1942</v>
      </c>
      <c r="H53" s="132">
        <f>VLOOKUP(A53,Iedz_sk!$B$5:$Y$123,17,FALSE)</f>
        <v>1893</v>
      </c>
      <c r="I53" s="172">
        <f>VLOOKUP(A53,Iedz_sk!$B$5:$Y$123,24,FALSE)</f>
        <v>1545</v>
      </c>
      <c r="J53" s="133">
        <f>VLOOKUP($A53,IKP!$Q$6:$AC$124,11,FALSE)</f>
        <v>18811.029512602898</v>
      </c>
      <c r="K53" s="133">
        <f>VLOOKUP($A53,IKP!$Q$6:$AC$124,12,FALSE)</f>
        <v>19731.18135897279</v>
      </c>
      <c r="L53" s="133">
        <f>VLOOKUP($A53,IKP!$Q$6:$AC$124,13,FALSE)</f>
        <v>20448.823659913232</v>
      </c>
      <c r="M53" s="172">
        <f>VLOOKUP($A53,IKP!$Q$6:$AD$124,14,FALSE)</f>
        <v>24328.5946431306</v>
      </c>
      <c r="N53" s="132">
        <f>((-0.0000000006)*IKP!$J$5 + 0.0461)*J53</f>
        <v>516.45617559945401</v>
      </c>
      <c r="O53" s="132">
        <f>((-0.0000000006)*IKP!$K$5 + 0.0461)*K53</f>
        <v>522.95659733453556</v>
      </c>
      <c r="P53" s="132">
        <f>((-0.0000000006)*IKP!$L$5 + 0.0461)*L53</f>
        <v>526.74991676182333</v>
      </c>
      <c r="Q53" s="172">
        <f>((-0.0000000006)*IKP!$M$5 + 0.0461)*M53</f>
        <v>522.77047963102495</v>
      </c>
      <c r="R53" s="132">
        <f t="shared" si="5"/>
        <v>123.94948214386898</v>
      </c>
      <c r="S53" s="132">
        <f t="shared" si="6"/>
        <v>125.50958336028854</v>
      </c>
      <c r="T53" s="132">
        <f t="shared" si="7"/>
        <v>126.41998002283761</v>
      </c>
      <c r="U53" s="172">
        <f t="shared" si="4"/>
        <v>125.46491511144599</v>
      </c>
      <c r="V53" s="175"/>
      <c r="W53" s="175"/>
    </row>
    <row r="54" spans="1:23" hidden="1" outlineLevel="1" x14ac:dyDescent="0.3">
      <c r="A54" s="98" t="s">
        <v>49</v>
      </c>
      <c r="B54" s="176" t="s">
        <v>108</v>
      </c>
      <c r="C54" s="176" t="s">
        <v>108</v>
      </c>
      <c r="D54" s="176" t="s">
        <v>440</v>
      </c>
      <c r="E54" s="180">
        <v>209</v>
      </c>
      <c r="F54" s="132">
        <f>VLOOKUP(A54,Iedz_sk!$B$5:$Y$123,15,FALSE)</f>
        <v>2188</v>
      </c>
      <c r="G54" s="132">
        <f>VLOOKUP(A54,Iedz_sk!$B$5:$Y$123,16,FALSE)</f>
        <v>2158</v>
      </c>
      <c r="H54" s="132">
        <f>VLOOKUP(A54,Iedz_sk!$B$5:$Y$123,17,FALSE)</f>
        <v>2128</v>
      </c>
      <c r="I54" s="172">
        <f>VLOOKUP(A54,Iedz_sk!$B$5:$Y$123,24,FALSE)</f>
        <v>1918</v>
      </c>
      <c r="J54" s="133">
        <f>VLOOKUP($A54,IKP!$Q$6:$AC$124,11,FALSE)</f>
        <v>28385.186199664982</v>
      </c>
      <c r="K54" s="133">
        <f>VLOOKUP($A54,IKP!$Q$6:$AC$124,12,FALSE)</f>
        <v>29514.828509579576</v>
      </c>
      <c r="L54" s="133">
        <f>VLOOKUP($A54,IKP!$Q$6:$AC$124,13,FALSE)</f>
        <v>30304.256740859586</v>
      </c>
      <c r="M54" s="172">
        <f>VLOOKUP($A54,IKP!$Q$6:$AD$124,14,FALSE)</f>
        <v>33784.831834683879</v>
      </c>
      <c r="N54" s="132">
        <f>((-0.0000000006)*IKP!$J$5 + 0.0461)*J54</f>
        <v>779.31432187354551</v>
      </c>
      <c r="O54" s="132">
        <f>((-0.0000000006)*IKP!$K$5 + 0.0461)*K54</f>
        <v>782.26305903690843</v>
      </c>
      <c r="P54" s="132">
        <f>((-0.0000000006)*IKP!$L$5 + 0.0461)*L54</f>
        <v>780.62019513959876</v>
      </c>
      <c r="Q54" s="172">
        <f>((-0.0000000006)*IKP!$M$5 + 0.0461)*M54</f>
        <v>725.96518629809793</v>
      </c>
      <c r="R54" s="132">
        <f t="shared" si="5"/>
        <v>187.03543724965093</v>
      </c>
      <c r="S54" s="132">
        <f t="shared" si="6"/>
        <v>187.74313416885801</v>
      </c>
      <c r="T54" s="132">
        <f t="shared" si="7"/>
        <v>187.3488468335037</v>
      </c>
      <c r="U54" s="172">
        <f t="shared" si="4"/>
        <v>174.23164471154351</v>
      </c>
      <c r="V54" s="175"/>
      <c r="W54" s="175"/>
    </row>
    <row r="55" spans="1:23" hidden="1" outlineLevel="1" x14ac:dyDescent="0.3">
      <c r="A55" s="98" t="s">
        <v>50</v>
      </c>
      <c r="B55" s="176" t="s">
        <v>50</v>
      </c>
      <c r="C55" s="176" t="s">
        <v>50</v>
      </c>
      <c r="D55" s="176" t="s">
        <v>438</v>
      </c>
      <c r="E55" s="180">
        <v>1317</v>
      </c>
      <c r="F55" s="132">
        <f>VLOOKUP(A55,Iedz_sk!$B$5:$Y$123,15,FALSE)</f>
        <v>22021</v>
      </c>
      <c r="G55" s="132">
        <f>VLOOKUP(A55,Iedz_sk!$B$5:$Y$123,16,FALSE)</f>
        <v>21627</v>
      </c>
      <c r="H55" s="132">
        <f>VLOOKUP(A55,Iedz_sk!$B$5:$Y$123,17,FALSE)</f>
        <v>21232</v>
      </c>
      <c r="I55" s="172">
        <f>VLOOKUP(A55,Iedz_sk!$B$5:$Y$123,24,FALSE)</f>
        <v>18471</v>
      </c>
      <c r="J55" s="133">
        <f>VLOOKUP($A55,IKP!$Q$6:$AC$124,11,FALSE)</f>
        <v>187931.64710188934</v>
      </c>
      <c r="K55" s="133">
        <f>VLOOKUP($A55,IKP!$Q$6:$AC$124,12,FALSE)</f>
        <v>197189.78334853359</v>
      </c>
      <c r="L55" s="133">
        <f>VLOOKUP($A55,IKP!$Q$6:$AC$124,13,FALSE)</f>
        <v>204324.60228341832</v>
      </c>
      <c r="M55" s="172">
        <f>VLOOKUP($A55,IKP!$Q$6:$AD$124,14,FALSE)</f>
        <v>243794.56947989957</v>
      </c>
      <c r="N55" s="132">
        <f>((-0.0000000006)*IKP!$J$5 + 0.0461)*J55</f>
        <v>5159.6569805667132</v>
      </c>
      <c r="O55" s="132">
        <f>((-0.0000000006)*IKP!$K$5 + 0.0461)*K55</f>
        <v>5226.3316753808367</v>
      </c>
      <c r="P55" s="132">
        <f>((-0.0000000006)*IKP!$L$5 + 0.0461)*L55</f>
        <v>5263.2840419163722</v>
      </c>
      <c r="Q55" s="172">
        <f>((-0.0000000006)*IKP!$M$5 + 0.0461)*M55</f>
        <v>5238.6340389962734</v>
      </c>
      <c r="R55" s="132">
        <f t="shared" si="5"/>
        <v>1238.3176753360112</v>
      </c>
      <c r="S55" s="132">
        <f t="shared" si="6"/>
        <v>1254.3196020914008</v>
      </c>
      <c r="T55" s="132">
        <f t="shared" si="7"/>
        <v>1263.1881700599292</v>
      </c>
      <c r="U55" s="172">
        <f t="shared" si="4"/>
        <v>1257.2721693591054</v>
      </c>
      <c r="V55" s="175"/>
      <c r="W55" s="175"/>
    </row>
    <row r="56" spans="1:23" hidden="1" outlineLevel="1" x14ac:dyDescent="0.3">
      <c r="A56" s="98" t="s">
        <v>51</v>
      </c>
      <c r="B56" s="176" t="s">
        <v>51</v>
      </c>
      <c r="C56" s="176" t="s">
        <v>51</v>
      </c>
      <c r="D56" s="176" t="s">
        <v>437</v>
      </c>
      <c r="E56" s="180">
        <v>905</v>
      </c>
      <c r="F56" s="132">
        <f>VLOOKUP(A56,Iedz_sk!$B$5:$Y$123,15,FALSE)</f>
        <v>4164</v>
      </c>
      <c r="G56" s="132">
        <f>VLOOKUP(A56,Iedz_sk!$B$5:$Y$123,16,FALSE)</f>
        <v>4079</v>
      </c>
      <c r="H56" s="132">
        <f>VLOOKUP(A56,Iedz_sk!$B$5:$Y$123,17,FALSE)</f>
        <v>3994</v>
      </c>
      <c r="I56" s="172">
        <f>VLOOKUP(A56,Iedz_sk!$B$5:$Y$123,24,FALSE)</f>
        <v>3397</v>
      </c>
      <c r="J56" s="133">
        <f>VLOOKUP($A56,IKP!$Q$6:$AC$124,11,FALSE)</f>
        <v>35536.414265122708</v>
      </c>
      <c r="K56" s="133">
        <f>VLOOKUP($A56,IKP!$Q$6:$AC$124,12,FALSE)</f>
        <v>37191.340744378256</v>
      </c>
      <c r="L56" s="133">
        <f>VLOOKUP($A56,IKP!$Q$6:$AC$124,13,FALSE)</f>
        <v>38435.967479275278</v>
      </c>
      <c r="M56" s="172">
        <f>VLOOKUP($A56,IKP!$Q$6:$AD$124,14,FALSE)</f>
        <v>44836.238023020887</v>
      </c>
      <c r="N56" s="132">
        <f>((-0.0000000006)*IKP!$J$5 + 0.0461)*J56</f>
        <v>975.651045233177</v>
      </c>
      <c r="O56" s="132">
        <f>((-0.0000000006)*IKP!$K$5 + 0.0461)*K56</f>
        <v>985.72187098896904</v>
      </c>
      <c r="P56" s="132">
        <f>((-0.0000000006)*IKP!$L$5 + 0.0461)*L56</f>
        <v>990.0883790228894</v>
      </c>
      <c r="Q56" s="172">
        <f>((-0.0000000006)*IKP!$M$5 + 0.0461)*M56</f>
        <v>963.43672949327811</v>
      </c>
      <c r="R56" s="132">
        <f t="shared" si="5"/>
        <v>234.15625085596247</v>
      </c>
      <c r="S56" s="132">
        <f t="shared" si="6"/>
        <v>236.57324903735255</v>
      </c>
      <c r="T56" s="132">
        <f t="shared" si="7"/>
        <v>237.62121096549345</v>
      </c>
      <c r="U56" s="172">
        <f t="shared" si="4"/>
        <v>231.22481507838674</v>
      </c>
      <c r="V56" s="175"/>
      <c r="W56" s="175"/>
    </row>
    <row r="57" spans="1:23" hidden="1" outlineLevel="1" x14ac:dyDescent="0.3">
      <c r="A57" s="98" t="s">
        <v>52</v>
      </c>
      <c r="B57" s="176" t="s">
        <v>108</v>
      </c>
      <c r="C57" s="176" t="s">
        <v>108</v>
      </c>
      <c r="D57" s="176" t="s">
        <v>440</v>
      </c>
      <c r="E57" s="180">
        <v>649</v>
      </c>
      <c r="F57" s="132">
        <f>VLOOKUP(A57,Iedz_sk!$B$5:$Y$123,15,FALSE)</f>
        <v>7462</v>
      </c>
      <c r="G57" s="132">
        <f>VLOOKUP(A57,Iedz_sk!$B$5:$Y$123,16,FALSE)</f>
        <v>7332</v>
      </c>
      <c r="H57" s="132">
        <f>VLOOKUP(A57,Iedz_sk!$B$5:$Y$123,17,FALSE)</f>
        <v>7203</v>
      </c>
      <c r="I57" s="172">
        <f>VLOOKUP(A57,Iedz_sk!$B$5:$Y$123,24,FALSE)</f>
        <v>6295</v>
      </c>
      <c r="J57" s="133">
        <f>VLOOKUP($A57,IKP!$Q$6:$AC$124,11,FALSE)</f>
        <v>96805.420211106088</v>
      </c>
      <c r="K57" s="133">
        <f>VLOOKUP($A57,IKP!$Q$6:$AC$124,12,FALSE)</f>
        <v>100279.29686387278</v>
      </c>
      <c r="L57" s="133">
        <f>VLOOKUP($A57,IKP!$Q$6:$AC$124,13,FALSE)</f>
        <v>102575.92166560695</v>
      </c>
      <c r="M57" s="172">
        <f>VLOOKUP($A57,IKP!$Q$6:$AD$124,14,FALSE)</f>
        <v>110884.00229370961</v>
      </c>
      <c r="N57" s="132">
        <f>((-0.0000000006)*IKP!$J$5 + 0.0461)*J57</f>
        <v>2657.7895200276039</v>
      </c>
      <c r="O57" s="132">
        <f>((-0.0000000006)*IKP!$K$5 + 0.0461)*K57</f>
        <v>2657.8094294988937</v>
      </c>
      <c r="P57" s="132">
        <f>((-0.0000000006)*IKP!$L$5 + 0.0461)*L57</f>
        <v>2642.2966473639704</v>
      </c>
      <c r="Q57" s="172">
        <f>((-0.0000000006)*IKP!$M$5 + 0.0461)*M57</f>
        <v>2382.6646755717034</v>
      </c>
      <c r="R57" s="132">
        <f t="shared" si="5"/>
        <v>637.86948480662488</v>
      </c>
      <c r="S57" s="132">
        <f t="shared" si="6"/>
        <v>637.87426307973453</v>
      </c>
      <c r="T57" s="132">
        <f t="shared" si="7"/>
        <v>634.1511953673529</v>
      </c>
      <c r="U57" s="172">
        <f t="shared" si="4"/>
        <v>571.83952213720886</v>
      </c>
      <c r="V57" s="175"/>
      <c r="W57" s="175"/>
    </row>
    <row r="58" spans="1:23" hidden="1" outlineLevel="1" x14ac:dyDescent="0.3">
      <c r="A58" s="98" t="s">
        <v>53</v>
      </c>
      <c r="B58" s="176" t="s">
        <v>67</v>
      </c>
      <c r="C58" s="176" t="s">
        <v>67</v>
      </c>
      <c r="D58" s="176" t="s">
        <v>437</v>
      </c>
      <c r="E58" s="180">
        <v>628</v>
      </c>
      <c r="F58" s="132">
        <f>VLOOKUP(A58,Iedz_sk!$B$5:$Y$123,15,FALSE)</f>
        <v>5127</v>
      </c>
      <c r="G58" s="132">
        <f>VLOOKUP(A58,Iedz_sk!$B$5:$Y$123,16,FALSE)</f>
        <v>5004</v>
      </c>
      <c r="H58" s="132">
        <f>VLOOKUP(A58,Iedz_sk!$B$5:$Y$123,17,FALSE)</f>
        <v>4880</v>
      </c>
      <c r="I58" s="172">
        <f>VLOOKUP(A58,Iedz_sk!$B$5:$Y$123,24,FALSE)</f>
        <v>4017</v>
      </c>
      <c r="J58" s="133">
        <f>VLOOKUP($A58,IKP!$Q$6:$AC$124,11,FALSE)</f>
        <v>33714.645549799432</v>
      </c>
      <c r="K58" s="133">
        <f>VLOOKUP($A58,IKP!$Q$6:$AC$124,12,FALSE)</f>
        <v>35396.175851437853</v>
      </c>
      <c r="L58" s="133">
        <f>VLOOKUP($A58,IKP!$Q$6:$AC$124,13,FALSE)</f>
        <v>36692.461140095766</v>
      </c>
      <c r="M58" s="172">
        <f>VLOOKUP($A58,IKP!$Q$6:$AD$124,14,FALSE)</f>
        <v>43945.084653864033</v>
      </c>
      <c r="N58" s="132">
        <f>((-0.0000000006)*IKP!$J$5 + 0.0461)*J58</f>
        <v>925.63444710322165</v>
      </c>
      <c r="O58" s="132">
        <f>((-0.0000000006)*IKP!$K$5 + 0.0461)*K58</f>
        <v>938.14269633201877</v>
      </c>
      <c r="P58" s="132">
        <f>((-0.0000000006)*IKP!$L$5 + 0.0461)*L58</f>
        <v>945.17666017243619</v>
      </c>
      <c r="Q58" s="172">
        <f>((-0.0000000006)*IKP!$M$5 + 0.0461)*M58</f>
        <v>944.2877124188177</v>
      </c>
      <c r="R58" s="132">
        <f t="shared" si="5"/>
        <v>222.1522673047732</v>
      </c>
      <c r="S58" s="132">
        <f t="shared" si="6"/>
        <v>225.15424711968453</v>
      </c>
      <c r="T58" s="132">
        <f t="shared" si="7"/>
        <v>226.84239844138469</v>
      </c>
      <c r="U58" s="172">
        <f t="shared" si="4"/>
        <v>226.62905098051627</v>
      </c>
      <c r="V58" s="175"/>
      <c r="W58" s="175"/>
    </row>
    <row r="59" spans="1:23" hidden="1" outlineLevel="1" x14ac:dyDescent="0.3">
      <c r="A59" s="98" t="s">
        <v>54</v>
      </c>
      <c r="B59" s="176" t="s">
        <v>442</v>
      </c>
      <c r="C59" s="176" t="s">
        <v>442</v>
      </c>
      <c r="D59" s="176" t="s">
        <v>439</v>
      </c>
      <c r="E59" s="180">
        <v>499</v>
      </c>
      <c r="F59" s="132">
        <f>VLOOKUP(A59,Iedz_sk!$B$5:$Y$123,15,FALSE)</f>
        <v>5776</v>
      </c>
      <c r="G59" s="132">
        <f>VLOOKUP(A59,Iedz_sk!$B$5:$Y$123,16,FALSE)</f>
        <v>5687</v>
      </c>
      <c r="H59" s="132">
        <f>VLOOKUP(A59,Iedz_sk!$B$5:$Y$123,17,FALSE)</f>
        <v>5598</v>
      </c>
      <c r="I59" s="172">
        <f>VLOOKUP(A59,Iedz_sk!$B$5:$Y$123,24,FALSE)</f>
        <v>4975</v>
      </c>
      <c r="J59" s="133">
        <f>VLOOKUP($A59,IKP!$Q$6:$AC$124,11,FALSE)</f>
        <v>54544.430956222051</v>
      </c>
      <c r="K59" s="133">
        <f>VLOOKUP($A59,IKP!$Q$6:$AC$124,12,FALSE)</f>
        <v>57781.271054829172</v>
      </c>
      <c r="L59" s="133">
        <f>VLOOKUP($A59,IKP!$Q$6:$AC$124,13,FALSE)</f>
        <v>60471.481694767186</v>
      </c>
      <c r="M59" s="172">
        <f>VLOOKUP($A59,IKP!$Q$6:$AD$124,14,FALSE)</f>
        <v>78339.649417200475</v>
      </c>
      <c r="N59" s="132">
        <f>((-0.0000000006)*IKP!$J$5 + 0.0461)*J59</f>
        <v>1497.5154971197019</v>
      </c>
      <c r="O59" s="132">
        <f>((-0.0000000006)*IKP!$K$5 + 0.0461)*K59</f>
        <v>1531.4388100110732</v>
      </c>
      <c r="P59" s="132">
        <f>((-0.0000000006)*IKP!$L$5 + 0.0461)*L59</f>
        <v>1557.7105303923336</v>
      </c>
      <c r="Q59" s="172">
        <f>((-0.0000000006)*IKP!$M$5 + 0.0461)*M59</f>
        <v>1683.3547806888994</v>
      </c>
      <c r="R59" s="132">
        <f t="shared" si="5"/>
        <v>359.40371930872845</v>
      </c>
      <c r="S59" s="132">
        <f t="shared" si="6"/>
        <v>367.5453144026576</v>
      </c>
      <c r="T59" s="132">
        <f t="shared" si="7"/>
        <v>373.85052729416009</v>
      </c>
      <c r="U59" s="172">
        <f t="shared" si="4"/>
        <v>404.00514736533586</v>
      </c>
      <c r="V59" s="175"/>
      <c r="W59" s="175"/>
    </row>
    <row r="60" spans="1:23" hidden="1" outlineLevel="1" x14ac:dyDescent="0.3">
      <c r="A60" s="98" t="s">
        <v>55</v>
      </c>
      <c r="B60" s="176" t="s">
        <v>11</v>
      </c>
      <c r="C60" s="176" t="s">
        <v>11</v>
      </c>
      <c r="D60" s="176" t="s">
        <v>438</v>
      </c>
      <c r="E60" s="180">
        <v>361</v>
      </c>
      <c r="F60" s="132">
        <f>VLOOKUP(A60,Iedz_sk!$B$5:$Y$123,15,FALSE)</f>
        <v>4851</v>
      </c>
      <c r="G60" s="132">
        <f>VLOOKUP(A60,Iedz_sk!$B$5:$Y$123,16,FALSE)</f>
        <v>4789</v>
      </c>
      <c r="H60" s="132">
        <f>VLOOKUP(A60,Iedz_sk!$B$5:$Y$123,17,FALSE)</f>
        <v>4727</v>
      </c>
      <c r="I60" s="172">
        <f>VLOOKUP(A60,Iedz_sk!$B$5:$Y$123,24,FALSE)</f>
        <v>4292</v>
      </c>
      <c r="J60" s="133">
        <f>VLOOKUP($A60,IKP!$Q$6:$AC$124,11,FALSE)</f>
        <v>41399.410566789207</v>
      </c>
      <c r="K60" s="133">
        <f>VLOOKUP($A60,IKP!$Q$6:$AC$124,12,FALSE)</f>
        <v>43664.949944797125</v>
      </c>
      <c r="L60" s="133">
        <f>VLOOKUP($A60,IKP!$Q$6:$AC$124,13,FALSE)</f>
        <v>45489.939477850334</v>
      </c>
      <c r="M60" s="172">
        <f>VLOOKUP($A60,IKP!$Q$6:$AD$124,14,FALSE)</f>
        <v>56649.141476245408</v>
      </c>
      <c r="N60" s="132">
        <f>((-0.0000000006)*IKP!$J$5 + 0.0461)*J60</f>
        <v>1136.6194093242416</v>
      </c>
      <c r="O60" s="132">
        <f>((-0.0000000006)*IKP!$K$5 + 0.0461)*K60</f>
        <v>1157.298857603867</v>
      </c>
      <c r="P60" s="132">
        <f>((-0.0000000006)*IKP!$L$5 + 0.0461)*L60</f>
        <v>1171.7946338610911</v>
      </c>
      <c r="Q60" s="172">
        <f>((-0.0000000006)*IKP!$M$5 + 0.0461)*M60</f>
        <v>1217.2712519826757</v>
      </c>
      <c r="R60" s="132">
        <f t="shared" si="5"/>
        <v>272.78865823781797</v>
      </c>
      <c r="S60" s="132">
        <f t="shared" si="6"/>
        <v>277.75172582492809</v>
      </c>
      <c r="T60" s="132">
        <f t="shared" si="7"/>
        <v>281.2307121266619</v>
      </c>
      <c r="U60" s="172">
        <f t="shared" si="4"/>
        <v>292.14510047584218</v>
      </c>
      <c r="V60" s="175"/>
      <c r="W60" s="175"/>
    </row>
    <row r="61" spans="1:23" hidden="1" outlineLevel="1" x14ac:dyDescent="0.3">
      <c r="A61" s="98" t="s">
        <v>56</v>
      </c>
      <c r="B61" s="176" t="s">
        <v>56</v>
      </c>
      <c r="C61" s="176" t="s">
        <v>56</v>
      </c>
      <c r="D61" s="176" t="s">
        <v>437</v>
      </c>
      <c r="E61" s="180">
        <v>1079</v>
      </c>
      <c r="F61" s="132">
        <f>VLOOKUP(A61,Iedz_sk!$B$5:$Y$123,15,FALSE)</f>
        <v>13533</v>
      </c>
      <c r="G61" s="132">
        <f>VLOOKUP(A61,Iedz_sk!$B$5:$Y$123,16,FALSE)</f>
        <v>13158</v>
      </c>
      <c r="H61" s="132">
        <f>VLOOKUP(A61,Iedz_sk!$B$5:$Y$123,17,FALSE)</f>
        <v>12782</v>
      </c>
      <c r="I61" s="172">
        <f>VLOOKUP(A61,Iedz_sk!$B$5:$Y$123,24,FALSE)</f>
        <v>10155</v>
      </c>
      <c r="J61" s="133">
        <f>VLOOKUP($A61,IKP!$Q$6:$AC$124,11,FALSE)</f>
        <v>88991.671196691183</v>
      </c>
      <c r="K61" s="133">
        <f>VLOOKUP($A61,IKP!$Q$6:$AC$124,12,FALSE)</f>
        <v>93074.117076982264</v>
      </c>
      <c r="L61" s="133">
        <f>VLOOKUP($A61,IKP!$Q$6:$AC$124,13,FALSE)</f>
        <v>96107.17997801314</v>
      </c>
      <c r="M61" s="172">
        <f>VLOOKUP($A61,IKP!$Q$6:$AD$124,14,FALSE)</f>
        <v>111093.43655961895</v>
      </c>
      <c r="N61" s="132">
        <f>((-0.0000000006)*IKP!$J$5 + 0.0461)*J61</f>
        <v>2443.2633065433779</v>
      </c>
      <c r="O61" s="132">
        <f>((-0.0000000006)*IKP!$K$5 + 0.0461)*K61</f>
        <v>2466.8428453910274</v>
      </c>
      <c r="P61" s="132">
        <f>((-0.0000000006)*IKP!$L$5 + 0.0461)*L61</f>
        <v>2475.6655881811639</v>
      </c>
      <c r="Q61" s="172">
        <f>((-0.0000000006)*IKP!$M$5 + 0.0461)*M61</f>
        <v>2387.1649787436136</v>
      </c>
      <c r="R61" s="132">
        <f t="shared" si="5"/>
        <v>586.38319357041064</v>
      </c>
      <c r="S61" s="132">
        <f t="shared" si="6"/>
        <v>592.04228289384662</v>
      </c>
      <c r="T61" s="132">
        <f t="shared" si="7"/>
        <v>594.15974116347934</v>
      </c>
      <c r="U61" s="172">
        <f t="shared" si="4"/>
        <v>572.91959489846727</v>
      </c>
      <c r="V61" s="175"/>
      <c r="W61" s="175"/>
    </row>
    <row r="62" spans="1:23" hidden="1" outlineLevel="1" x14ac:dyDescent="0.3">
      <c r="A62" s="98" t="s">
        <v>57</v>
      </c>
      <c r="B62" s="176" t="s">
        <v>100</v>
      </c>
      <c r="C62" s="176" t="s">
        <v>100</v>
      </c>
      <c r="D62" s="176" t="s">
        <v>438</v>
      </c>
      <c r="E62" s="180">
        <v>341</v>
      </c>
      <c r="F62" s="132">
        <f>VLOOKUP(A62,Iedz_sk!$B$5:$Y$123,15,FALSE)</f>
        <v>4833</v>
      </c>
      <c r="G62" s="132">
        <f>VLOOKUP(A62,Iedz_sk!$B$5:$Y$123,16,FALSE)</f>
        <v>4764</v>
      </c>
      <c r="H62" s="132">
        <f>VLOOKUP(A62,Iedz_sk!$B$5:$Y$123,17,FALSE)</f>
        <v>4694</v>
      </c>
      <c r="I62" s="172">
        <f>VLOOKUP(A62,Iedz_sk!$B$5:$Y$123,24,FALSE)</f>
        <v>4209</v>
      </c>
      <c r="J62" s="133">
        <f>VLOOKUP($A62,IKP!$Q$6:$AC$124,11,FALSE)</f>
        <v>62699.088164068038</v>
      </c>
      <c r="K62" s="133">
        <f>VLOOKUP($A62,IKP!$Q$6:$AC$124,12,FALSE)</f>
        <v>65156.924476198838</v>
      </c>
      <c r="L62" s="133">
        <f>VLOOKUP($A62,IKP!$Q$6:$AC$124,13,FALSE)</f>
        <v>66845.949784584067</v>
      </c>
      <c r="M62" s="172">
        <f>VLOOKUP($A62,IKP!$Q$6:$AD$124,14,FALSE)</f>
        <v>74139.915115841737</v>
      </c>
      <c r="N62" s="132">
        <f>((-0.0000000006)*IKP!$J$5 + 0.0461)*J62</f>
        <v>1721.4013334619951</v>
      </c>
      <c r="O62" s="132">
        <f>((-0.0000000006)*IKP!$K$5 + 0.0461)*K62</f>
        <v>1726.9236391343056</v>
      </c>
      <c r="P62" s="132">
        <f>((-0.0000000006)*IKP!$L$5 + 0.0461)*L62</f>
        <v>1721.9131560081187</v>
      </c>
      <c r="Q62" s="172">
        <f>((-0.0000000006)*IKP!$M$5 + 0.0461)*M62</f>
        <v>1593.111297773042</v>
      </c>
      <c r="R62" s="132">
        <f t="shared" si="5"/>
        <v>413.13632003087884</v>
      </c>
      <c r="S62" s="132">
        <f t="shared" si="6"/>
        <v>414.46167339223337</v>
      </c>
      <c r="T62" s="132">
        <f t="shared" si="7"/>
        <v>413.2591574419485</v>
      </c>
      <c r="U62" s="172">
        <f t="shared" si="4"/>
        <v>382.34671146553012</v>
      </c>
      <c r="V62" s="175"/>
      <c r="W62" s="175"/>
    </row>
    <row r="63" spans="1:23" hidden="1" outlineLevel="1" x14ac:dyDescent="0.3">
      <c r="A63" s="98" t="s">
        <v>58</v>
      </c>
      <c r="B63" s="176" t="s">
        <v>51</v>
      </c>
      <c r="C63" s="176" t="s">
        <v>51</v>
      </c>
      <c r="D63" s="176" t="s">
        <v>437</v>
      </c>
      <c r="E63" s="180">
        <v>811</v>
      </c>
      <c r="F63" s="132">
        <f>VLOOKUP(A63,Iedz_sk!$B$5:$Y$123,15,FALSE)</f>
        <v>5461</v>
      </c>
      <c r="G63" s="132">
        <f>VLOOKUP(A63,Iedz_sk!$B$5:$Y$123,16,FALSE)</f>
        <v>5389</v>
      </c>
      <c r="H63" s="132">
        <f>VLOOKUP(A63,Iedz_sk!$B$5:$Y$123,17,FALSE)</f>
        <v>5317</v>
      </c>
      <c r="I63" s="172">
        <f>VLOOKUP(A63,Iedz_sk!$B$5:$Y$123,24,FALSE)</f>
        <v>4811</v>
      </c>
      <c r="J63" s="133">
        <f>VLOOKUP($A63,IKP!$Q$6:$AC$124,11,FALSE)</f>
        <v>46605.273367395566</v>
      </c>
      <c r="K63" s="133">
        <f>VLOOKUP($A63,IKP!$Q$6:$AC$124,12,FALSE)</f>
        <v>49135.605607122925</v>
      </c>
      <c r="L63" s="133">
        <f>VLOOKUP($A63,IKP!$Q$6:$AC$124,13,FALSE)</f>
        <v>51167.761413947585</v>
      </c>
      <c r="M63" s="172">
        <f>VLOOKUP($A63,IKP!$Q$6:$AD$124,14,FALSE)</f>
        <v>63499.30560163482</v>
      </c>
      <c r="N63" s="132">
        <f>((-0.0000000006)*IKP!$J$5 + 0.0461)*J63</f>
        <v>1279.5461954895245</v>
      </c>
      <c r="O63" s="132">
        <f>((-0.0000000006)*IKP!$K$5 + 0.0461)*K63</f>
        <v>1302.2934941798367</v>
      </c>
      <c r="P63" s="132">
        <f>((-0.0000000006)*IKP!$L$5 + 0.0461)*L63</f>
        <v>1318.0520559000258</v>
      </c>
      <c r="Q63" s="172">
        <f>((-0.0000000006)*IKP!$M$5 + 0.0461)*M63</f>
        <v>1364.4669136273656</v>
      </c>
      <c r="R63" s="132">
        <f t="shared" si="5"/>
        <v>307.09108691748588</v>
      </c>
      <c r="S63" s="132">
        <f t="shared" si="6"/>
        <v>312.55043860316084</v>
      </c>
      <c r="T63" s="132">
        <f t="shared" si="7"/>
        <v>316.33249341600623</v>
      </c>
      <c r="U63" s="172">
        <f t="shared" si="4"/>
        <v>327.47205927056774</v>
      </c>
      <c r="V63" s="175"/>
      <c r="W63" s="175"/>
    </row>
    <row r="64" spans="1:23" hidden="1" outlineLevel="1" x14ac:dyDescent="0.3">
      <c r="A64" s="98" t="s">
        <v>59</v>
      </c>
      <c r="B64" s="176" t="s">
        <v>59</v>
      </c>
      <c r="C64" s="176" t="s">
        <v>59</v>
      </c>
      <c r="D64" s="176" t="s">
        <v>440</v>
      </c>
      <c r="E64" s="180">
        <v>1757</v>
      </c>
      <c r="F64" s="132">
        <f>VLOOKUP(A64,Iedz_sk!$B$5:$Y$123,15,FALSE)</f>
        <v>21907</v>
      </c>
      <c r="G64" s="132">
        <f>VLOOKUP(A64,Iedz_sk!$B$5:$Y$123,16,FALSE)</f>
        <v>21570</v>
      </c>
      <c r="H64" s="132">
        <f>VLOOKUP(A64,Iedz_sk!$B$5:$Y$123,17,FALSE)</f>
        <v>21234</v>
      </c>
      <c r="I64" s="172">
        <f>VLOOKUP(A64,Iedz_sk!$B$5:$Y$123,24,FALSE)</f>
        <v>18878</v>
      </c>
      <c r="J64" s="133">
        <f>VLOOKUP($A64,IKP!$Q$6:$AC$124,11,FALSE)</f>
        <v>209894.59112891389</v>
      </c>
      <c r="K64" s="133">
        <f>VLOOKUP($A64,IKP!$Q$6:$AC$124,12,FALSE)</f>
        <v>221149.69083791066</v>
      </c>
      <c r="L64" s="133">
        <f>VLOOKUP($A64,IKP!$Q$6:$AC$124,13,FALSE)</f>
        <v>230154.97413396061</v>
      </c>
      <c r="M64" s="172">
        <f>VLOOKUP($A64,IKP!$Q$6:$AD$124,14,FALSE)</f>
        <v>284431.09670489293</v>
      </c>
      <c r="N64" s="132">
        <f>((-0.0000000006)*IKP!$J$5 + 0.0461)*J64</f>
        <v>5762.6488619787606</v>
      </c>
      <c r="O64" s="132">
        <f>((-0.0000000006)*IKP!$K$5 + 0.0461)*K64</f>
        <v>5861.3667229603298</v>
      </c>
      <c r="P64" s="132">
        <f>((-0.0000000006)*IKP!$L$5 + 0.0461)*L64</f>
        <v>5928.6595397193505</v>
      </c>
      <c r="Q64" s="172">
        <f>((-0.0000000006)*IKP!$M$5 + 0.0461)*M64</f>
        <v>6111.8277906109934</v>
      </c>
      <c r="R64" s="132">
        <f t="shared" si="5"/>
        <v>1383.0357268749026</v>
      </c>
      <c r="S64" s="132">
        <f t="shared" si="6"/>
        <v>1406.7280135104791</v>
      </c>
      <c r="T64" s="132">
        <f t="shared" si="7"/>
        <v>1422.878289532644</v>
      </c>
      <c r="U64" s="172">
        <f t="shared" si="4"/>
        <v>1466.8386697466385</v>
      </c>
      <c r="V64" s="175"/>
      <c r="W64" s="175"/>
    </row>
    <row r="65" spans="1:23" hidden="1" outlineLevel="1" x14ac:dyDescent="0.3">
      <c r="A65" s="98" t="s">
        <v>60</v>
      </c>
      <c r="B65" s="176" t="s">
        <v>76</v>
      </c>
      <c r="C65" s="176" t="s">
        <v>76</v>
      </c>
      <c r="D65" s="176" t="s">
        <v>438</v>
      </c>
      <c r="E65" s="180">
        <v>492</v>
      </c>
      <c r="F65" s="132">
        <f>VLOOKUP(A65,Iedz_sk!$B$5:$Y$123,15,FALSE)</f>
        <v>5313</v>
      </c>
      <c r="G65" s="132">
        <f>VLOOKUP(A65,Iedz_sk!$B$5:$Y$123,16,FALSE)</f>
        <v>5254</v>
      </c>
      <c r="H65" s="132">
        <f>VLOOKUP(A65,Iedz_sk!$B$5:$Y$123,17,FALSE)</f>
        <v>5196</v>
      </c>
      <c r="I65" s="172">
        <f>VLOOKUP(A65,Iedz_sk!$B$5:$Y$123,24,FALSE)</f>
        <v>4786</v>
      </c>
      <c r="J65" s="133">
        <f>VLOOKUP($A65,IKP!$Q$6:$AC$124,11,FALSE)</f>
        <v>68926.18568501831</v>
      </c>
      <c r="K65" s="133">
        <f>VLOOKUP($A65,IKP!$Q$6:$AC$124,12,FALSE)</f>
        <v>71858.623257336003</v>
      </c>
      <c r="L65" s="133">
        <f>VLOOKUP($A65,IKP!$Q$6:$AC$124,13,FALSE)</f>
        <v>73994.792305219176</v>
      </c>
      <c r="M65" s="172">
        <f>VLOOKUP($A65,IKP!$Q$6:$AD$124,14,FALSE)</f>
        <v>84303.548050467696</v>
      </c>
      <c r="N65" s="132">
        <f>((-0.0000000006)*IKP!$J$5 + 0.0461)*J65</f>
        <v>1892.3660841472338</v>
      </c>
      <c r="O65" s="132">
        <f>((-0.0000000006)*IKP!$K$5 + 0.0461)*K65</f>
        <v>1904.5459277942155</v>
      </c>
      <c r="P65" s="132">
        <f>((-0.0000000006)*IKP!$L$5 + 0.0461)*L65</f>
        <v>1906.0632208389825</v>
      </c>
      <c r="Q65" s="172">
        <f>((-0.0000000006)*IKP!$M$5 + 0.0461)*M65</f>
        <v>1811.5064554862861</v>
      </c>
      <c r="R65" s="132">
        <f t="shared" si="5"/>
        <v>454.16786019533612</v>
      </c>
      <c r="S65" s="132">
        <f t="shared" si="6"/>
        <v>457.09102267061172</v>
      </c>
      <c r="T65" s="132">
        <f t="shared" si="7"/>
        <v>457.45517300135577</v>
      </c>
      <c r="U65" s="172">
        <f t="shared" si="4"/>
        <v>434.76154931670868</v>
      </c>
      <c r="V65" s="175"/>
      <c r="W65" s="175"/>
    </row>
    <row r="66" spans="1:23" hidden="1" outlineLevel="1" x14ac:dyDescent="0.3">
      <c r="A66" s="98" t="s">
        <v>61</v>
      </c>
      <c r="B66" s="176" t="s">
        <v>61</v>
      </c>
      <c r="C66" s="176" t="s">
        <v>61</v>
      </c>
      <c r="D66" s="176" t="s">
        <v>438</v>
      </c>
      <c r="E66" s="180">
        <v>275</v>
      </c>
      <c r="F66" s="132">
        <f>VLOOKUP(A66,Iedz_sk!$B$5:$Y$123,15,FALSE)</f>
        <v>24631</v>
      </c>
      <c r="G66" s="132">
        <f>VLOOKUP(A66,Iedz_sk!$B$5:$Y$123,16,FALSE)</f>
        <v>24660</v>
      </c>
      <c r="H66" s="132">
        <f>VLOOKUP(A66,Iedz_sk!$B$5:$Y$123,17,FALSE)</f>
        <v>24688</v>
      </c>
      <c r="I66" s="172">
        <f>VLOOKUP(A66,Iedz_sk!$B$5:$Y$123,24,FALSE)</f>
        <v>24889</v>
      </c>
      <c r="J66" s="133">
        <f>VLOOKUP($A66,IKP!$Q$6:$AC$124,11,FALSE)</f>
        <v>319540.91466359608</v>
      </c>
      <c r="K66" s="133">
        <f>VLOOKUP($A66,IKP!$Q$6:$AC$124,12,FALSE)</f>
        <v>337273.24886294361</v>
      </c>
      <c r="L66" s="133">
        <f>VLOOKUP($A66,IKP!$Q$6:$AC$124,13,FALSE)</f>
        <v>351574.9485048597</v>
      </c>
      <c r="M66" s="172">
        <f>VLOOKUP($A66,IKP!$Q$6:$AD$124,14,FALSE)</f>
        <v>438410.15616968041</v>
      </c>
      <c r="N66" s="132">
        <f>((-0.0000000006)*IKP!$J$5 + 0.0461)*J66</f>
        <v>8772.9849461002286</v>
      </c>
      <c r="O66" s="132">
        <f>((-0.0000000006)*IKP!$K$5 + 0.0461)*K66</f>
        <v>8939.1135476599447</v>
      </c>
      <c r="P66" s="132">
        <f>((-0.0000000006)*IKP!$L$5 + 0.0461)*L66</f>
        <v>9056.3681285744424</v>
      </c>
      <c r="Q66" s="172">
        <f>((-0.0000000006)*IKP!$M$5 + 0.0461)*M66</f>
        <v>9420.5148705804786</v>
      </c>
      <c r="R66" s="132">
        <f t="shared" si="5"/>
        <v>2105.5163870640549</v>
      </c>
      <c r="S66" s="132">
        <f t="shared" si="6"/>
        <v>2145.3872514383866</v>
      </c>
      <c r="T66" s="132">
        <f t="shared" si="7"/>
        <v>2173.5283508578664</v>
      </c>
      <c r="U66" s="172">
        <f t="shared" si="4"/>
        <v>2260.9235689393149</v>
      </c>
      <c r="V66" s="175"/>
      <c r="W66" s="175"/>
    </row>
    <row r="67" spans="1:23" hidden="1" outlineLevel="1" x14ac:dyDescent="0.3">
      <c r="A67" s="98" t="s">
        <v>62</v>
      </c>
      <c r="B67" s="176" t="s">
        <v>76</v>
      </c>
      <c r="C67" s="176" t="s">
        <v>76</v>
      </c>
      <c r="D67" s="176" t="s">
        <v>438</v>
      </c>
      <c r="E67" s="180">
        <v>225</v>
      </c>
      <c r="F67" s="132">
        <f>VLOOKUP(A67,Iedz_sk!$B$5:$Y$123,15,FALSE)</f>
        <v>9547</v>
      </c>
      <c r="G67" s="132">
        <f>VLOOKUP(A67,Iedz_sk!$B$5:$Y$123,16,FALSE)</f>
        <v>9451</v>
      </c>
      <c r="H67" s="132">
        <f>VLOOKUP(A67,Iedz_sk!$B$5:$Y$123,17,FALSE)</f>
        <v>9356</v>
      </c>
      <c r="I67" s="172">
        <f>VLOOKUP(A67,Iedz_sk!$B$5:$Y$123,24,FALSE)</f>
        <v>8686</v>
      </c>
      <c r="J67" s="133">
        <f>VLOOKUP($A67,IKP!$Q$6:$AC$124,11,FALSE)</f>
        <v>123854.37506773382</v>
      </c>
      <c r="K67" s="133">
        <f>VLOOKUP($A67,IKP!$Q$6:$AC$124,12,FALSE)</f>
        <v>129260.72485821898</v>
      </c>
      <c r="L67" s="133">
        <f>VLOOKUP($A67,IKP!$Q$6:$AC$124,13,FALSE)</f>
        <v>133236.19646028301</v>
      </c>
      <c r="M67" s="172">
        <f>VLOOKUP($A67,IKP!$Q$6:$AD$124,14,FALSE)</f>
        <v>153000.54708866746</v>
      </c>
      <c r="N67" s="132">
        <f>((-0.0000000006)*IKP!$J$5 + 0.0461)*J67</f>
        <v>3400.4176558166087</v>
      </c>
      <c r="O67" s="132">
        <f>((-0.0000000006)*IKP!$K$5 + 0.0461)*K67</f>
        <v>3425.9352043363397</v>
      </c>
      <c r="P67" s="132">
        <f>((-0.0000000006)*IKP!$L$5 + 0.0461)*L67</f>
        <v>3432.0876624652656</v>
      </c>
      <c r="Q67" s="172">
        <f>((-0.0000000006)*IKP!$M$5 + 0.0461)*M67</f>
        <v>3287.6609010350776</v>
      </c>
      <c r="R67" s="132">
        <f t="shared" si="5"/>
        <v>816.10023739598614</v>
      </c>
      <c r="S67" s="132">
        <f t="shared" si="6"/>
        <v>822.22444904072165</v>
      </c>
      <c r="T67" s="132">
        <f t="shared" si="7"/>
        <v>823.70103899166372</v>
      </c>
      <c r="U67" s="172">
        <f t="shared" si="4"/>
        <v>789.03861624841863</v>
      </c>
      <c r="V67" s="175"/>
      <c r="W67" s="175"/>
    </row>
    <row r="68" spans="1:23" hidden="1" outlineLevel="1" x14ac:dyDescent="0.3">
      <c r="A68" s="98" t="s">
        <v>63</v>
      </c>
      <c r="B68" s="176" t="s">
        <v>63</v>
      </c>
      <c r="C68" s="176" t="s">
        <v>63</v>
      </c>
      <c r="D68" s="176" t="s">
        <v>439</v>
      </c>
      <c r="E68" s="180">
        <v>1170</v>
      </c>
      <c r="F68" s="132">
        <f>VLOOKUP(A68,Iedz_sk!$B$5:$Y$123,15,FALSE)</f>
        <v>16744</v>
      </c>
      <c r="G68" s="132">
        <f>VLOOKUP(A68,Iedz_sk!$B$5:$Y$123,16,FALSE)</f>
        <v>16441</v>
      </c>
      <c r="H68" s="132">
        <f>VLOOKUP(A68,Iedz_sk!$B$5:$Y$123,17,FALSE)</f>
        <v>16138</v>
      </c>
      <c r="I68" s="172">
        <f>VLOOKUP(A68,Iedz_sk!$B$5:$Y$123,24,FALSE)</f>
        <v>14017</v>
      </c>
      <c r="J68" s="133">
        <f>VLOOKUP($A68,IKP!$Q$6:$AC$124,11,FALSE)</f>
        <v>217221.91852248195</v>
      </c>
      <c r="K68" s="133">
        <f>VLOOKUP($A68,IKP!$Q$6:$AC$124,12,FALSE)</f>
        <v>224862.50951158378</v>
      </c>
      <c r="L68" s="133">
        <f>VLOOKUP($A68,IKP!$Q$6:$AC$124,13,FALSE)</f>
        <v>229816.77409962029</v>
      </c>
      <c r="M68" s="172">
        <f>VLOOKUP($A68,IKP!$Q$6:$AD$124,14,FALSE)</f>
        <v>246904.06038934513</v>
      </c>
      <c r="N68" s="132">
        <f>((-0.0000000006)*IKP!$J$5 + 0.0461)*J68</f>
        <v>5963.8203864034031</v>
      </c>
      <c r="O68" s="132">
        <f>((-0.0000000006)*IKP!$K$5 + 0.0461)*K68</f>
        <v>5959.7715262399497</v>
      </c>
      <c r="P68" s="132">
        <f>((-0.0000000006)*IKP!$L$5 + 0.0461)*L68</f>
        <v>5919.9477016742685</v>
      </c>
      <c r="Q68" s="172">
        <f>((-0.0000000006)*IKP!$M$5 + 0.0461)*M68</f>
        <v>5305.4504777583106</v>
      </c>
      <c r="R68" s="132">
        <f t="shared" si="5"/>
        <v>1431.3168927368167</v>
      </c>
      <c r="S68" s="132">
        <f t="shared" si="6"/>
        <v>1430.3451662975881</v>
      </c>
      <c r="T68" s="132">
        <f t="shared" si="7"/>
        <v>1420.7874484018243</v>
      </c>
      <c r="U68" s="172">
        <f t="shared" si="4"/>
        <v>1273.3081146619945</v>
      </c>
      <c r="V68" s="175"/>
      <c r="W68" s="175"/>
    </row>
    <row r="69" spans="1:23" hidden="1" outlineLevel="1" x14ac:dyDescent="0.3">
      <c r="A69" s="98" t="s">
        <v>64</v>
      </c>
      <c r="B69" s="176" t="s">
        <v>31</v>
      </c>
      <c r="C69" s="176" t="s">
        <v>31</v>
      </c>
      <c r="D69" s="176" t="s">
        <v>439</v>
      </c>
      <c r="E69" s="180">
        <v>168</v>
      </c>
      <c r="F69" s="132">
        <f>VLOOKUP(A69,Iedz_sk!$B$5:$Y$123,15,FALSE)</f>
        <v>3258</v>
      </c>
      <c r="G69" s="132">
        <f>VLOOKUP(A69,Iedz_sk!$B$5:$Y$123,16,FALSE)</f>
        <v>3171</v>
      </c>
      <c r="H69" s="132">
        <f>VLOOKUP(A69,Iedz_sk!$B$5:$Y$123,17,FALSE)</f>
        <v>3085</v>
      </c>
      <c r="I69" s="172">
        <f>VLOOKUP(A69,Iedz_sk!$B$5:$Y$123,24,FALSE)</f>
        <v>2478</v>
      </c>
      <c r="J69" s="133">
        <f>VLOOKUP($A69,IKP!$Q$6:$AC$124,11,FALSE)</f>
        <v>30766.232004046302</v>
      </c>
      <c r="K69" s="133">
        <f>VLOOKUP($A69,IKP!$Q$6:$AC$124,12,FALSE)</f>
        <v>32218.113331257835</v>
      </c>
      <c r="L69" s="133">
        <f>VLOOKUP($A69,IKP!$Q$6:$AC$124,13,FALSE)</f>
        <v>33325.209186916174</v>
      </c>
      <c r="M69" s="172">
        <f>VLOOKUP($A69,IKP!$Q$6:$AD$124,14,FALSE)</f>
        <v>39020.231408205582</v>
      </c>
      <c r="N69" s="132">
        <f>((-0.0000000006)*IKP!$J$5 + 0.0461)*J69</f>
        <v>844.68585346537202</v>
      </c>
      <c r="O69" s="132">
        <f>((-0.0000000006)*IKP!$K$5 + 0.0461)*K69</f>
        <v>853.91110718218965</v>
      </c>
      <c r="P69" s="132">
        <f>((-0.0000000006)*IKP!$L$5 + 0.0461)*L69</f>
        <v>858.43818975711827</v>
      </c>
      <c r="Q69" s="172">
        <f>((-0.0000000006)*IKP!$M$5 + 0.0461)*M69</f>
        <v>838.4629440295663</v>
      </c>
      <c r="R69" s="132">
        <f t="shared" si="5"/>
        <v>202.72460483168931</v>
      </c>
      <c r="S69" s="132">
        <f t="shared" si="6"/>
        <v>204.93866572372551</v>
      </c>
      <c r="T69" s="132">
        <f t="shared" si="7"/>
        <v>206.02516554170839</v>
      </c>
      <c r="U69" s="172">
        <f t="shared" si="4"/>
        <v>201.23110656709591</v>
      </c>
      <c r="V69" s="175"/>
      <c r="W69" s="175"/>
    </row>
    <row r="70" spans="1:23" hidden="1" outlineLevel="1" x14ac:dyDescent="0.3">
      <c r="A70" s="98" t="s">
        <v>65</v>
      </c>
      <c r="B70" s="176" t="s">
        <v>65</v>
      </c>
      <c r="C70" s="176" t="s">
        <v>65</v>
      </c>
      <c r="D70" s="176" t="s">
        <v>437</v>
      </c>
      <c r="E70" s="180">
        <v>622</v>
      </c>
      <c r="F70" s="132">
        <f>VLOOKUP(A70,Iedz_sk!$B$5:$Y$123,15,FALSE)</f>
        <v>10636</v>
      </c>
      <c r="G70" s="132">
        <f>VLOOKUP(A70,Iedz_sk!$B$5:$Y$123,16,FALSE)</f>
        <v>10414</v>
      </c>
      <c r="H70" s="132">
        <f>VLOOKUP(A70,Iedz_sk!$B$5:$Y$123,17,FALSE)</f>
        <v>10192</v>
      </c>
      <c r="I70" s="172">
        <f>VLOOKUP(A70,Iedz_sk!$B$5:$Y$123,24,FALSE)</f>
        <v>8637</v>
      </c>
      <c r="J70" s="133">
        <f>VLOOKUP($A70,IKP!$Q$6:$AC$124,11,FALSE)</f>
        <v>69941.285365255855</v>
      </c>
      <c r="K70" s="133">
        <f>VLOOKUP($A70,IKP!$Q$6:$AC$124,12,FALSE)</f>
        <v>73664.223684427212</v>
      </c>
      <c r="L70" s="133">
        <f>VLOOKUP($A70,IKP!$Q$6:$AC$124,13,FALSE)</f>
        <v>76633.107364724608</v>
      </c>
      <c r="M70" s="172">
        <f>VLOOKUP($A70,IKP!$Q$6:$AD$124,14,FALSE)</f>
        <v>94486.854905507513</v>
      </c>
      <c r="N70" s="132">
        <f>((-0.0000000006)*IKP!$J$5 + 0.0461)*J70</f>
        <v>1920.235611349691</v>
      </c>
      <c r="O70" s="132">
        <f>((-0.0000000006)*IKP!$K$5 + 0.0461)*K70</f>
        <v>1952.4016865710717</v>
      </c>
      <c r="P70" s="132">
        <f>((-0.0000000006)*IKP!$L$5 + 0.0461)*L70</f>
        <v>1974.0246968191539</v>
      </c>
      <c r="Q70" s="172">
        <f>((-0.0000000006)*IKP!$M$5 + 0.0461)*M70</f>
        <v>2030.3243644912445</v>
      </c>
      <c r="R70" s="132">
        <f t="shared" si="5"/>
        <v>460.85654672392582</v>
      </c>
      <c r="S70" s="132">
        <f t="shared" si="6"/>
        <v>468.57640477705718</v>
      </c>
      <c r="T70" s="132">
        <f t="shared" si="7"/>
        <v>473.76592723659689</v>
      </c>
      <c r="U70" s="172">
        <f t="shared" si="4"/>
        <v>487.27784747789872</v>
      </c>
      <c r="V70" s="175"/>
      <c r="W70" s="175"/>
    </row>
    <row r="71" spans="1:23" hidden="1" outlineLevel="1" x14ac:dyDescent="0.3">
      <c r="A71" s="98" t="s">
        <v>66</v>
      </c>
      <c r="B71" s="176" t="s">
        <v>68</v>
      </c>
      <c r="C71" s="176" t="s">
        <v>68</v>
      </c>
      <c r="D71" s="176" t="s">
        <v>439</v>
      </c>
      <c r="E71" s="180">
        <v>347</v>
      </c>
      <c r="F71" s="132">
        <f>VLOOKUP(A71,Iedz_sk!$B$5:$Y$123,15,FALSE)</f>
        <v>2163</v>
      </c>
      <c r="G71" s="132">
        <f>VLOOKUP(A71,Iedz_sk!$B$5:$Y$123,16,FALSE)</f>
        <v>2123</v>
      </c>
      <c r="H71" s="132">
        <f>VLOOKUP(A71,Iedz_sk!$B$5:$Y$123,17,FALSE)</f>
        <v>2083</v>
      </c>
      <c r="I71" s="172">
        <f>VLOOKUP(A71,Iedz_sk!$B$5:$Y$123,24,FALSE)</f>
        <v>1805</v>
      </c>
      <c r="J71" s="133">
        <f>VLOOKUP($A71,IKP!$Q$6:$AC$124,11,FALSE)</f>
        <v>20425.831744859472</v>
      </c>
      <c r="K71" s="133">
        <f>VLOOKUP($A71,IKP!$Q$6:$AC$124,12,FALSE)</f>
        <v>21570.184358959439</v>
      </c>
      <c r="L71" s="133">
        <f>VLOOKUP($A71,IKP!$Q$6:$AC$124,13,FALSE)</f>
        <v>22501.267661700615</v>
      </c>
      <c r="M71" s="172">
        <f>VLOOKUP($A71,IKP!$Q$6:$AD$124,14,FALSE)</f>
        <v>28422.72707498429</v>
      </c>
      <c r="N71" s="132">
        <f>((-0.0000000006)*IKP!$J$5 + 0.0461)*J71</f>
        <v>560.79051597470834</v>
      </c>
      <c r="O71" s="132">
        <f>((-0.0000000006)*IKP!$K$5 + 0.0461)*K71</f>
        <v>571.69766021689964</v>
      </c>
      <c r="P71" s="132">
        <f>((-0.0000000006)*IKP!$L$5 + 0.0461)*L71</f>
        <v>579.61969181979816</v>
      </c>
      <c r="Q71" s="172">
        <f>((-0.0000000006)*IKP!$M$5 + 0.0461)*M71</f>
        <v>610.74479982783168</v>
      </c>
      <c r="R71" s="132">
        <f t="shared" ref="R71:R102" si="8">N71*$X$6*$X$5</f>
        <v>134.58972383393001</v>
      </c>
      <c r="S71" s="132">
        <f t="shared" ref="S71:S102" si="9">O71*$X$6*$X$5</f>
        <v>137.20743845205592</v>
      </c>
      <c r="T71" s="132">
        <f t="shared" ref="T71:T102" si="10">P71*$X$6*$X$5</f>
        <v>139.10872603675156</v>
      </c>
      <c r="U71" s="172">
        <f t="shared" ref="U71:U124" si="11">Q71*$X$6*$X$5</f>
        <v>146.57875195867962</v>
      </c>
      <c r="V71" s="175"/>
      <c r="W71" s="175"/>
    </row>
    <row r="72" spans="1:23" hidden="1" outlineLevel="1" x14ac:dyDescent="0.3">
      <c r="A72" s="98" t="s">
        <v>67</v>
      </c>
      <c r="B72" s="176" t="s">
        <v>67</v>
      </c>
      <c r="C72" s="176" t="s">
        <v>67</v>
      </c>
      <c r="D72" s="176" t="s">
        <v>437</v>
      </c>
      <c r="E72" s="180">
        <v>965</v>
      </c>
      <c r="F72" s="132">
        <f>VLOOKUP(A72,Iedz_sk!$B$5:$Y$123,15,FALSE)</f>
        <v>11739</v>
      </c>
      <c r="G72" s="132">
        <f>VLOOKUP(A72,Iedz_sk!$B$5:$Y$123,16,FALSE)</f>
        <v>11499</v>
      </c>
      <c r="H72" s="132">
        <f>VLOOKUP(A72,Iedz_sk!$B$5:$Y$123,17,FALSE)</f>
        <v>11259</v>
      </c>
      <c r="I72" s="172">
        <f>VLOOKUP(A72,Iedz_sk!$B$5:$Y$123,24,FALSE)</f>
        <v>9579</v>
      </c>
      <c r="J72" s="133">
        <f>VLOOKUP($A72,IKP!$Q$6:$AC$124,11,FALSE)</f>
        <v>77194.504409809932</v>
      </c>
      <c r="K72" s="133">
        <f>VLOOKUP($A72,IKP!$Q$6:$AC$124,12,FALSE)</f>
        <v>81339.053979952805</v>
      </c>
      <c r="L72" s="133">
        <f>VLOOKUP($A72,IKP!$Q$6:$AC$124,13,FALSE)</f>
        <v>84655.823765643087</v>
      </c>
      <c r="M72" s="172">
        <f>VLOOKUP($A72,IKP!$Q$6:$AD$124,14,FALSE)</f>
        <v>104792.12494382962</v>
      </c>
      <c r="N72" s="132">
        <f>((-0.0000000006)*IKP!$J$5 + 0.0461)*J72</f>
        <v>2119.3724935722094</v>
      </c>
      <c r="O72" s="132">
        <f>((-0.0000000006)*IKP!$K$5 + 0.0461)*K72</f>
        <v>2155.8159202881461</v>
      </c>
      <c r="P72" s="132">
        <f>((-0.0000000006)*IKP!$L$5 + 0.0461)*L72</f>
        <v>2180.6852493609549</v>
      </c>
      <c r="Q72" s="172">
        <f>((-0.0000000006)*IKP!$M$5 + 0.0461)*M72</f>
        <v>2251.7630065371809</v>
      </c>
      <c r="R72" s="132">
        <f t="shared" si="8"/>
        <v>508.64939845733022</v>
      </c>
      <c r="S72" s="132">
        <f t="shared" si="9"/>
        <v>517.39582086915505</v>
      </c>
      <c r="T72" s="132">
        <f t="shared" si="10"/>
        <v>523.36445984662919</v>
      </c>
      <c r="U72" s="172">
        <f t="shared" si="11"/>
        <v>540.42312156892342</v>
      </c>
      <c r="V72" s="175"/>
      <c r="W72" s="175"/>
    </row>
    <row r="73" spans="1:23" hidden="1" outlineLevel="1" x14ac:dyDescent="0.3">
      <c r="A73" s="98" t="s">
        <v>68</v>
      </c>
      <c r="B73" s="176" t="s">
        <v>68</v>
      </c>
      <c r="C73" s="176" t="s">
        <v>68</v>
      </c>
      <c r="D73" s="176" t="s">
        <v>439</v>
      </c>
      <c r="E73" s="180">
        <v>2159</v>
      </c>
      <c r="F73" s="132">
        <f>VLOOKUP(A73,Iedz_sk!$B$5:$Y$123,15,FALSE)</f>
        <v>21676</v>
      </c>
      <c r="G73" s="132">
        <f>VLOOKUP(A73,Iedz_sk!$B$5:$Y$123,16,FALSE)</f>
        <v>21228</v>
      </c>
      <c r="H73" s="132">
        <f>VLOOKUP(A73,Iedz_sk!$B$5:$Y$123,17,FALSE)</f>
        <v>20780</v>
      </c>
      <c r="I73" s="172">
        <f>VLOOKUP(A73,Iedz_sk!$B$5:$Y$123,24,FALSE)</f>
        <v>17645</v>
      </c>
      <c r="J73" s="133">
        <f>VLOOKUP($A73,IKP!$Q$6:$AC$124,11,FALSE)</f>
        <v>204692.70869235962</v>
      </c>
      <c r="K73" s="133">
        <f>VLOOKUP($A73,IKP!$Q$6:$AC$124,12,FALSE)</f>
        <v>215681.52311445642</v>
      </c>
      <c r="L73" s="133">
        <f>VLOOKUP($A73,IKP!$Q$6:$AC$124,13,FALSE)</f>
        <v>224472.55977443053</v>
      </c>
      <c r="M73" s="172">
        <f>VLOOKUP($A73,IKP!$Q$6:$AD$124,14,FALSE)</f>
        <v>277849.87215407082</v>
      </c>
      <c r="N73" s="132">
        <f>((-0.0000000006)*IKP!$J$5 + 0.0461)*J73</f>
        <v>5619.8313565731751</v>
      </c>
      <c r="O73" s="132">
        <f>((-0.0000000006)*IKP!$K$5 + 0.0461)*K73</f>
        <v>5716.4380268885279</v>
      </c>
      <c r="P73" s="132">
        <f>((-0.0000000006)*IKP!$L$5 + 0.0461)*L73</f>
        <v>5782.2838194985152</v>
      </c>
      <c r="Q73" s="172">
        <f>((-0.0000000006)*IKP!$M$5 + 0.0461)*M73</f>
        <v>5970.4110764332918</v>
      </c>
      <c r="R73" s="132">
        <f t="shared" si="8"/>
        <v>1348.759525577562</v>
      </c>
      <c r="S73" s="132">
        <f t="shared" si="9"/>
        <v>1371.9451264532468</v>
      </c>
      <c r="T73" s="132">
        <f t="shared" si="10"/>
        <v>1387.7481166796435</v>
      </c>
      <c r="U73" s="172">
        <f t="shared" si="11"/>
        <v>1432.8986583439898</v>
      </c>
      <c r="V73" s="175"/>
      <c r="W73" s="175"/>
    </row>
    <row r="74" spans="1:23" hidden="1" outlineLevel="1" x14ac:dyDescent="0.3">
      <c r="A74" s="98" t="s">
        <v>69</v>
      </c>
      <c r="B74" s="176" t="s">
        <v>442</v>
      </c>
      <c r="C74" s="176" t="s">
        <v>442</v>
      </c>
      <c r="D74" s="176" t="s">
        <v>439</v>
      </c>
      <c r="E74" s="180">
        <v>417</v>
      </c>
      <c r="F74" s="132">
        <f>VLOOKUP(A74,Iedz_sk!$B$5:$Y$123,15,FALSE)</f>
        <v>2867</v>
      </c>
      <c r="G74" s="132">
        <f>VLOOKUP(A74,Iedz_sk!$B$5:$Y$123,16,FALSE)</f>
        <v>2790</v>
      </c>
      <c r="H74" s="132">
        <f>VLOOKUP(A74,Iedz_sk!$B$5:$Y$123,17,FALSE)</f>
        <v>2714</v>
      </c>
      <c r="I74" s="172">
        <f>VLOOKUP(A74,Iedz_sk!$B$5:$Y$123,24,FALSE)</f>
        <v>2177</v>
      </c>
      <c r="J74" s="133">
        <f>VLOOKUP($A74,IKP!$Q$6:$AC$124,11,FALSE)</f>
        <v>27073.90643204443</v>
      </c>
      <c r="K74" s="133">
        <f>VLOOKUP($A74,IKP!$Q$6:$AC$124,12,FALSE)</f>
        <v>28347.062817473779</v>
      </c>
      <c r="L74" s="133">
        <f>VLOOKUP($A74,IKP!$Q$6:$AC$124,13,FALSE)</f>
        <v>29317.542215005025</v>
      </c>
      <c r="M74" s="172">
        <f>VLOOKUP($A74,IKP!$Q$6:$AD$124,14,FALSE)</f>
        <v>34280.485785174962</v>
      </c>
      <c r="N74" s="132">
        <f>((-0.0000000006)*IKP!$J$5 + 0.0461)*J74</f>
        <v>743.3131804435917</v>
      </c>
      <c r="O74" s="132">
        <f>((-0.0000000006)*IKP!$K$5 + 0.0461)*K74</f>
        <v>751.31251625301456</v>
      </c>
      <c r="P74" s="132">
        <f>((-0.0000000006)*IKP!$L$5 + 0.0461)*L74</f>
        <v>755.20299740707264</v>
      </c>
      <c r="Q74" s="172">
        <f>((-0.0000000006)*IKP!$M$5 + 0.0461)*M74</f>
        <v>736.61575026326307</v>
      </c>
      <c r="R74" s="132">
        <f t="shared" si="8"/>
        <v>178.39516330646202</v>
      </c>
      <c r="S74" s="132">
        <f t="shared" si="9"/>
        <v>180.3150039007235</v>
      </c>
      <c r="T74" s="132">
        <f t="shared" si="10"/>
        <v>181.24871937769746</v>
      </c>
      <c r="U74" s="172">
        <f t="shared" si="11"/>
        <v>176.78778006318313</v>
      </c>
      <c r="V74" s="175"/>
      <c r="W74" s="175"/>
    </row>
    <row r="75" spans="1:23" hidden="1" outlineLevel="1" x14ac:dyDescent="0.3">
      <c r="A75" s="98" t="s">
        <v>70</v>
      </c>
      <c r="B75" s="176" t="s">
        <v>100</v>
      </c>
      <c r="C75" s="176" t="s">
        <v>100</v>
      </c>
      <c r="D75" s="176" t="s">
        <v>438</v>
      </c>
      <c r="E75" s="180">
        <v>221</v>
      </c>
      <c r="F75" s="132">
        <f>VLOOKUP(A75,Iedz_sk!$B$5:$Y$123,15,FALSE)</f>
        <v>3324</v>
      </c>
      <c r="G75" s="132">
        <f>VLOOKUP(A75,Iedz_sk!$B$5:$Y$123,16,FALSE)</f>
        <v>3296</v>
      </c>
      <c r="H75" s="132">
        <f>VLOOKUP(A75,Iedz_sk!$B$5:$Y$123,17,FALSE)</f>
        <v>3268</v>
      </c>
      <c r="I75" s="172">
        <f>VLOOKUP(A75,Iedz_sk!$B$5:$Y$123,24,FALSE)</f>
        <v>3070</v>
      </c>
      <c r="J75" s="133">
        <f>VLOOKUP($A75,IKP!$Q$6:$AC$124,11,FALSE)</f>
        <v>43122.650332580626</v>
      </c>
      <c r="K75" s="133">
        <f>VLOOKUP($A75,IKP!$Q$6:$AC$124,12,FALSE)</f>
        <v>45079.182005363429</v>
      </c>
      <c r="L75" s="133">
        <f>VLOOKUP($A75,IKP!$Q$6:$AC$124,13,FALSE)</f>
        <v>46538.679994891507</v>
      </c>
      <c r="M75" s="172">
        <f>VLOOKUP($A75,IKP!$Q$6:$AD$124,14,FALSE)</f>
        <v>54076.868473659808</v>
      </c>
      <c r="N75" s="132">
        <f>((-0.0000000006)*IKP!$J$5 + 0.0461)*J75</f>
        <v>1183.9308984952768</v>
      </c>
      <c r="O75" s="132">
        <f>((-0.0000000006)*IKP!$K$5 + 0.0461)*K75</f>
        <v>1194.7817620878823</v>
      </c>
      <c r="P75" s="132">
        <f>((-0.0000000006)*IKP!$L$5 + 0.0461)*L75</f>
        <v>1198.8095853929551</v>
      </c>
      <c r="Q75" s="172">
        <f>((-0.0000000006)*IKP!$M$5 + 0.0461)*M75</f>
        <v>1161.998499444818</v>
      </c>
      <c r="R75" s="132">
        <f t="shared" si="8"/>
        <v>284.14341563886643</v>
      </c>
      <c r="S75" s="132">
        <f t="shared" si="9"/>
        <v>286.74762290109175</v>
      </c>
      <c r="T75" s="132">
        <f t="shared" si="10"/>
        <v>287.71430049430921</v>
      </c>
      <c r="U75" s="172">
        <f t="shared" si="11"/>
        <v>278.87963986675629</v>
      </c>
      <c r="V75" s="175"/>
      <c r="W75" s="175"/>
    </row>
    <row r="76" spans="1:23" hidden="1" outlineLevel="1" x14ac:dyDescent="0.3">
      <c r="A76" s="98" t="s">
        <v>71</v>
      </c>
      <c r="B76" s="176" t="s">
        <v>71</v>
      </c>
      <c r="C76" s="176" t="s">
        <v>71</v>
      </c>
      <c r="D76" s="176" t="s">
        <v>438</v>
      </c>
      <c r="E76" s="180">
        <v>104</v>
      </c>
      <c r="F76" s="132">
        <f>VLOOKUP(A76,Iedz_sk!$B$5:$Y$123,15,FALSE)</f>
        <v>21577</v>
      </c>
      <c r="G76" s="132">
        <f>VLOOKUP(A76,Iedz_sk!$B$5:$Y$123,16,FALSE)</f>
        <v>22373</v>
      </c>
      <c r="H76" s="132">
        <f>VLOOKUP(A76,Iedz_sk!$B$5:$Y$123,17,FALSE)</f>
        <v>23169</v>
      </c>
      <c r="I76" s="172">
        <f>VLOOKUP(A76,Iedz_sk!$B$5:$Y$123,24,FALSE)</f>
        <v>28740</v>
      </c>
      <c r="J76" s="133">
        <f>VLOOKUP($A76,IKP!$Q$6:$AC$124,11,FALSE)</f>
        <v>279921.00668654998</v>
      </c>
      <c r="K76" s="133">
        <f>VLOOKUP($A76,IKP!$Q$6:$AC$124,12,FALSE)</f>
        <v>305994.09557220753</v>
      </c>
      <c r="L76" s="133">
        <f>VLOOKUP($A76,IKP!$Q$6:$AC$124,13,FALSE)</f>
        <v>329943.29155496979</v>
      </c>
      <c r="M76" s="172">
        <f>VLOOKUP($A76,IKP!$Q$6:$AD$124,14,FALSE)</f>
        <v>506244.03906611819</v>
      </c>
      <c r="N76" s="132">
        <f>((-0.0000000006)*IKP!$J$5 + 0.0461)*J76</f>
        <v>7685.2217198653989</v>
      </c>
      <c r="O76" s="132">
        <f>((-0.0000000006)*IKP!$K$5 + 0.0461)*K76</f>
        <v>8110.0887024248159</v>
      </c>
      <c r="P76" s="132">
        <f>((-0.0000000006)*IKP!$L$5 + 0.0461)*L76</f>
        <v>8499.1491077017672</v>
      </c>
      <c r="Q76" s="172">
        <f>((-0.0000000006)*IKP!$M$5 + 0.0461)*M76</f>
        <v>10878.12276027494</v>
      </c>
      <c r="R76" s="132">
        <f t="shared" si="8"/>
        <v>1844.4532127676957</v>
      </c>
      <c r="S76" s="132">
        <f t="shared" si="9"/>
        <v>1946.4212885819559</v>
      </c>
      <c r="T76" s="132">
        <f t="shared" si="10"/>
        <v>2039.7957858484242</v>
      </c>
      <c r="U76" s="172">
        <f t="shared" si="11"/>
        <v>2610.7494624659857</v>
      </c>
      <c r="V76" s="175"/>
      <c r="W76" s="175"/>
    </row>
    <row r="77" spans="1:23" hidden="1" outlineLevel="1" x14ac:dyDescent="0.3">
      <c r="A77" s="98" t="s">
        <v>72</v>
      </c>
      <c r="B77" s="176" t="s">
        <v>106</v>
      </c>
      <c r="C77" s="176" t="s">
        <v>106</v>
      </c>
      <c r="D77" s="176" t="s">
        <v>440</v>
      </c>
      <c r="E77" s="180">
        <v>110</v>
      </c>
      <c r="F77" s="132">
        <f>VLOOKUP(A77,Iedz_sk!$B$5:$Y$123,15,FALSE)</f>
        <v>1431</v>
      </c>
      <c r="G77" s="132">
        <f>VLOOKUP(A77,Iedz_sk!$B$5:$Y$123,16,FALSE)</f>
        <v>1408</v>
      </c>
      <c r="H77" s="132">
        <f>VLOOKUP(A77,Iedz_sk!$B$5:$Y$123,17,FALSE)</f>
        <v>1385</v>
      </c>
      <c r="I77" s="172">
        <f>VLOOKUP(A77,Iedz_sk!$B$5:$Y$123,24,FALSE)</f>
        <v>1222</v>
      </c>
      <c r="J77" s="133">
        <f>VLOOKUP($A77,IKP!$Q$6:$AC$124,11,FALSE)</f>
        <v>13710.647733851087</v>
      </c>
      <c r="K77" s="133">
        <f>VLOOKUP($A77,IKP!$Q$6:$AC$124,12,FALSE)</f>
        <v>14435.733180332787</v>
      </c>
      <c r="L77" s="133">
        <f>VLOOKUP($A77,IKP!$Q$6:$AC$124,13,FALSE)</f>
        <v>15011.99204933293</v>
      </c>
      <c r="M77" s="172">
        <f>VLOOKUP($A77,IKP!$Q$6:$AD$124,14,FALSE)</f>
        <v>18411.632597382093</v>
      </c>
      <c r="N77" s="132">
        <f>((-0.0000000006)*IKP!$J$5 + 0.0461)*J77</f>
        <v>376.42536730230546</v>
      </c>
      <c r="O77" s="132">
        <f>((-0.0000000006)*IKP!$K$5 + 0.0461)*K77</f>
        <v>382.60567204117496</v>
      </c>
      <c r="P77" s="132">
        <f>((-0.0000000006)*IKP!$L$5 + 0.0461)*L77</f>
        <v>386.70026667190831</v>
      </c>
      <c r="Q77" s="172">
        <f>((-0.0000000006)*IKP!$M$5 + 0.0461)*M77</f>
        <v>395.62737366917224</v>
      </c>
      <c r="R77" s="132">
        <f t="shared" si="8"/>
        <v>90.342088152553302</v>
      </c>
      <c r="S77" s="132">
        <f t="shared" si="9"/>
        <v>91.825361289881997</v>
      </c>
      <c r="T77" s="132">
        <f t="shared" si="10"/>
        <v>92.808064001257989</v>
      </c>
      <c r="U77" s="172">
        <f t="shared" si="11"/>
        <v>94.950569680601333</v>
      </c>
      <c r="V77" s="175"/>
      <c r="W77" s="175"/>
    </row>
    <row r="78" spans="1:23" hidden="1" outlineLevel="1" x14ac:dyDescent="0.3">
      <c r="A78" s="98" t="s">
        <v>73</v>
      </c>
      <c r="B78" s="176" t="s">
        <v>442</v>
      </c>
      <c r="C78" s="176" t="s">
        <v>442</v>
      </c>
      <c r="D78" s="176" t="s">
        <v>439</v>
      </c>
      <c r="E78" s="180">
        <v>281</v>
      </c>
      <c r="F78" s="132">
        <f>VLOOKUP(A78,Iedz_sk!$B$5:$Y$123,15,FALSE)</f>
        <v>1689</v>
      </c>
      <c r="G78" s="132">
        <f>VLOOKUP(A78,Iedz_sk!$B$5:$Y$123,16,FALSE)</f>
        <v>1642</v>
      </c>
      <c r="H78" s="132">
        <f>VLOOKUP(A78,Iedz_sk!$B$5:$Y$123,17,FALSE)</f>
        <v>1596</v>
      </c>
      <c r="I78" s="172">
        <f>VLOOKUP(A78,Iedz_sk!$B$5:$Y$123,24,FALSE)</f>
        <v>1270</v>
      </c>
      <c r="J78" s="133">
        <f>VLOOKUP($A78,IKP!$Q$6:$AC$124,11,FALSE)</f>
        <v>15949.713276499142</v>
      </c>
      <c r="K78" s="133">
        <f>VLOOKUP($A78,IKP!$Q$6:$AC$124,12,FALSE)</f>
        <v>16683.110088276684</v>
      </c>
      <c r="L78" s="133">
        <f>VLOOKUP($A78,IKP!$Q$6:$AC$124,13,FALSE)</f>
        <v>17240.529615014009</v>
      </c>
      <c r="M78" s="172">
        <f>VLOOKUP($A78,IKP!$Q$6:$AD$124,14,FALSE)</f>
        <v>19998.262263285345</v>
      </c>
      <c r="N78" s="132">
        <f>((-0.0000000006)*IKP!$J$5 + 0.0461)*J78</f>
        <v>437.89883563628405</v>
      </c>
      <c r="O78" s="132">
        <f>((-0.0000000006)*IKP!$K$5 + 0.0461)*K78</f>
        <v>442.17030526431898</v>
      </c>
      <c r="P78" s="132">
        <f>((-0.0000000006)*IKP!$L$5 + 0.0461)*L78</f>
        <v>444.10611048698894</v>
      </c>
      <c r="Q78" s="172">
        <f>((-0.0000000006)*IKP!$M$5 + 0.0461)*M78</f>
        <v>429.7207178844024</v>
      </c>
      <c r="R78" s="132">
        <f t="shared" si="8"/>
        <v>105.09572055270817</v>
      </c>
      <c r="S78" s="132">
        <f t="shared" si="9"/>
        <v>106.12087326343655</v>
      </c>
      <c r="T78" s="132">
        <f t="shared" si="10"/>
        <v>106.58546651687735</v>
      </c>
      <c r="U78" s="172">
        <f t="shared" si="11"/>
        <v>103.13297229225658</v>
      </c>
      <c r="V78" s="175"/>
      <c r="W78" s="175"/>
    </row>
    <row r="79" spans="1:23" hidden="1" outlineLevel="1" x14ac:dyDescent="0.3">
      <c r="A79" s="98" t="s">
        <v>74</v>
      </c>
      <c r="B79" s="176" t="s">
        <v>11</v>
      </c>
      <c r="C79" s="176" t="s">
        <v>11</v>
      </c>
      <c r="D79" s="176" t="s">
        <v>438</v>
      </c>
      <c r="E79" s="180">
        <v>645</v>
      </c>
      <c r="F79" s="132">
        <f>VLOOKUP(A79,Iedz_sk!$B$5:$Y$123,15,FALSE)</f>
        <v>3278</v>
      </c>
      <c r="G79" s="132">
        <f>VLOOKUP(A79,Iedz_sk!$B$5:$Y$123,16,FALSE)</f>
        <v>3221</v>
      </c>
      <c r="H79" s="132">
        <f>VLOOKUP(A79,Iedz_sk!$B$5:$Y$123,17,FALSE)</f>
        <v>3164</v>
      </c>
      <c r="I79" s="172">
        <f>VLOOKUP(A79,Iedz_sk!$B$5:$Y$123,24,FALSE)</f>
        <v>2766</v>
      </c>
      <c r="J79" s="133">
        <f>VLOOKUP($A79,IKP!$Q$6:$AC$124,11,FALSE)</f>
        <v>27975.111902274795</v>
      </c>
      <c r="K79" s="133">
        <f>VLOOKUP($A79,IKP!$Q$6:$AC$124,12,FALSE)</f>
        <v>29368.303147252354</v>
      </c>
      <c r="L79" s="133">
        <f>VLOOKUP($A79,IKP!$Q$6:$AC$124,13,FALSE)</f>
        <v>30448.523060697793</v>
      </c>
      <c r="M79" s="172">
        <f>VLOOKUP($A79,IKP!$Q$6:$AD$124,14,FALSE)</f>
        <v>36507.8111191274</v>
      </c>
      <c r="N79" s="132">
        <f>((-0.0000000006)*IKP!$J$5 + 0.0461)*J79</f>
        <v>768.05574598327439</v>
      </c>
      <c r="O79" s="132">
        <f>((-0.0000000006)*IKP!$K$5 + 0.0461)*K79</f>
        <v>778.37954068533202</v>
      </c>
      <c r="P79" s="132">
        <f>((-0.0000000006)*IKP!$L$5 + 0.0461)*L79</f>
        <v>784.33641242574424</v>
      </c>
      <c r="Q79" s="172">
        <f>((-0.0000000006)*IKP!$M$5 + 0.0461)*M79</f>
        <v>784.47630078846248</v>
      </c>
      <c r="R79" s="132">
        <f t="shared" si="8"/>
        <v>184.33337903598584</v>
      </c>
      <c r="S79" s="132">
        <f t="shared" si="9"/>
        <v>186.8110897644797</v>
      </c>
      <c r="T79" s="132">
        <f t="shared" si="10"/>
        <v>188.24073898217861</v>
      </c>
      <c r="U79" s="172">
        <f t="shared" si="11"/>
        <v>188.27431218923101</v>
      </c>
      <c r="V79" s="175"/>
      <c r="W79" s="175"/>
    </row>
    <row r="80" spans="1:23" hidden="1" outlineLevel="1" x14ac:dyDescent="0.3">
      <c r="A80" s="98" t="s">
        <v>75</v>
      </c>
      <c r="B80" s="176" t="s">
        <v>441</v>
      </c>
      <c r="C80" s="176" t="s">
        <v>441</v>
      </c>
      <c r="D80" s="176" t="s">
        <v>176</v>
      </c>
      <c r="E80" s="180">
        <v>351</v>
      </c>
      <c r="F80" s="132">
        <f>VLOOKUP(A80,Iedz_sk!$B$5:$Y$123,15,FALSE)</f>
        <v>3113</v>
      </c>
      <c r="G80" s="132">
        <f>VLOOKUP(A80,Iedz_sk!$B$5:$Y$123,16,FALSE)</f>
        <v>3058</v>
      </c>
      <c r="H80" s="132">
        <f>VLOOKUP(A80,Iedz_sk!$B$5:$Y$123,17,FALSE)</f>
        <v>3003</v>
      </c>
      <c r="I80" s="172">
        <f>VLOOKUP(A80,Iedz_sk!$B$5:$Y$123,24,FALSE)</f>
        <v>2616</v>
      </c>
      <c r="J80" s="133">
        <f>VLOOKUP($A80,IKP!$Q$6:$AC$124,11,FALSE)</f>
        <v>29826.167991249778</v>
      </c>
      <c r="K80" s="133">
        <f>VLOOKUP($A80,IKP!$Q$6:$AC$124,12,FALSE)</f>
        <v>31352.608001035271</v>
      </c>
      <c r="L80" s="133">
        <f>VLOOKUP($A80,IKP!$Q$6:$AC$124,13,FALSE)</f>
        <v>32549.467237651112</v>
      </c>
      <c r="M80" s="172">
        <f>VLOOKUP($A80,IKP!$Q$6:$AD$124,14,FALSE)</f>
        <v>39414.755216654303</v>
      </c>
      <c r="N80" s="132">
        <f>((-0.0000000006)*IKP!$J$5 + 0.0461)*J80</f>
        <v>818.87642796092018</v>
      </c>
      <c r="O80" s="132">
        <f>((-0.0000000006)*IKP!$K$5 + 0.0461)*K80</f>
        <v>830.97169396442689</v>
      </c>
      <c r="P80" s="132">
        <f>((-0.0000000006)*IKP!$L$5 + 0.0461)*L80</f>
        <v>838.45552405468641</v>
      </c>
      <c r="Q80" s="172">
        <f>((-0.0000000006)*IKP!$M$5 + 0.0461)*M80</f>
        <v>846.94043332123942</v>
      </c>
      <c r="R80" s="132">
        <f t="shared" si="8"/>
        <v>196.53034271062086</v>
      </c>
      <c r="S80" s="132">
        <f t="shared" si="9"/>
        <v>199.43320655146246</v>
      </c>
      <c r="T80" s="132">
        <f t="shared" si="10"/>
        <v>201.22932577312477</v>
      </c>
      <c r="U80" s="172">
        <f t="shared" si="11"/>
        <v>203.26570399709749</v>
      </c>
      <c r="V80" s="175"/>
      <c r="W80" s="175"/>
    </row>
    <row r="81" spans="1:23" hidden="1" outlineLevel="1" x14ac:dyDescent="0.3">
      <c r="A81" s="98" t="s">
        <v>76</v>
      </c>
      <c r="B81" s="176" t="s">
        <v>76</v>
      </c>
      <c r="C81" s="176" t="s">
        <v>76</v>
      </c>
      <c r="D81" s="176" t="s">
        <v>438</v>
      </c>
      <c r="E81" s="180">
        <v>990</v>
      </c>
      <c r="F81" s="132">
        <f>VLOOKUP(A81,Iedz_sk!$B$5:$Y$123,15,FALSE)</f>
        <v>32790</v>
      </c>
      <c r="G81" s="132">
        <f>VLOOKUP(A81,Iedz_sk!$B$5:$Y$123,16,FALSE)</f>
        <v>32305</v>
      </c>
      <c r="H81" s="132">
        <f>VLOOKUP(A81,Iedz_sk!$B$5:$Y$123,17,FALSE)</f>
        <v>31820</v>
      </c>
      <c r="I81" s="172">
        <f>VLOOKUP(A81,Iedz_sk!$B$5:$Y$123,24,FALSE)</f>
        <v>28423</v>
      </c>
      <c r="J81" s="133">
        <f>VLOOKUP($A81,IKP!$Q$6:$AC$124,11,FALSE)</f>
        <v>425388.59939991537</v>
      </c>
      <c r="K81" s="133">
        <f>VLOOKUP($A81,IKP!$Q$6:$AC$124,12,FALSE)</f>
        <v>441833.42678497138</v>
      </c>
      <c r="L81" s="133">
        <f>VLOOKUP($A81,IKP!$Q$6:$AC$124,13,FALSE)</f>
        <v>453139.77889762778</v>
      </c>
      <c r="M81" s="172">
        <f>VLOOKUP($A81,IKP!$Q$6:$AD$124,14,FALSE)</f>
        <v>500660.20606737223</v>
      </c>
      <c r="N81" s="132">
        <f>((-0.0000000006)*IKP!$J$5 + 0.0461)*J81</f>
        <v>11679.029531185355</v>
      </c>
      <c r="O81" s="132">
        <f>((-0.0000000006)*IKP!$K$5 + 0.0461)*K81</f>
        <v>11710.38374522119</v>
      </c>
      <c r="P81" s="132">
        <f>((-0.0000000006)*IKP!$L$5 + 0.0461)*L81</f>
        <v>11672.619647247195</v>
      </c>
      <c r="Q81" s="172">
        <f>((-0.0000000006)*IKP!$M$5 + 0.0461)*M81</f>
        <v>10758.137898931616</v>
      </c>
      <c r="R81" s="132">
        <f t="shared" si="8"/>
        <v>2802.9670874844855</v>
      </c>
      <c r="S81" s="132">
        <f t="shared" si="9"/>
        <v>2810.4920988530857</v>
      </c>
      <c r="T81" s="132">
        <f t="shared" si="10"/>
        <v>2801.4287153393266</v>
      </c>
      <c r="U81" s="172">
        <f t="shared" si="11"/>
        <v>2581.9530957435877</v>
      </c>
      <c r="V81" s="175"/>
      <c r="W81" s="175"/>
    </row>
    <row r="82" spans="1:23" hidden="1" outlineLevel="1" x14ac:dyDescent="0.3">
      <c r="A82" s="98" t="s">
        <v>77</v>
      </c>
      <c r="B82" s="176" t="s">
        <v>77</v>
      </c>
      <c r="C82" s="176" t="s">
        <v>77</v>
      </c>
      <c r="D82" s="176" t="s">
        <v>438</v>
      </c>
      <c r="E82" s="180">
        <v>298</v>
      </c>
      <c r="F82" s="132">
        <f>VLOOKUP(A82,Iedz_sk!$B$5:$Y$123,15,FALSE)</f>
        <v>19705</v>
      </c>
      <c r="G82" s="132">
        <f>VLOOKUP(A82,Iedz_sk!$B$5:$Y$123,16,FALSE)</f>
        <v>19494</v>
      </c>
      <c r="H82" s="132">
        <f>VLOOKUP(A82,Iedz_sk!$B$5:$Y$123,17,FALSE)</f>
        <v>19283</v>
      </c>
      <c r="I82" s="172">
        <f>VLOOKUP(A82,Iedz_sk!$B$5:$Y$123,24,FALSE)</f>
        <v>17804</v>
      </c>
      <c r="J82" s="133">
        <f>VLOOKUP($A82,IKP!$Q$6:$AC$124,11,FALSE)</f>
        <v>255635.32635484391</v>
      </c>
      <c r="K82" s="133">
        <f>VLOOKUP($A82,IKP!$Q$6:$AC$124,12,FALSE)</f>
        <v>266618.1959989547</v>
      </c>
      <c r="L82" s="133">
        <f>VLOOKUP($A82,IKP!$Q$6:$AC$124,13,FALSE)</f>
        <v>274603.84526973468</v>
      </c>
      <c r="M82" s="172">
        <f>VLOOKUP($A82,IKP!$Q$6:$AD$124,14,FALSE)</f>
        <v>313610.60791695089</v>
      </c>
      <c r="N82" s="132">
        <f>((-0.0000000006)*IKP!$J$5 + 0.0461)*J82</f>
        <v>7018.4591921929677</v>
      </c>
      <c r="O82" s="132">
        <f>((-0.0000000006)*IKP!$K$5 + 0.0461)*K82</f>
        <v>7066.4671329311832</v>
      </c>
      <c r="P82" s="132">
        <f>((-0.0000000006)*IKP!$L$5 + 0.0461)*L82</f>
        <v>7073.6368528556777</v>
      </c>
      <c r="Q82" s="172">
        <f>((-0.0000000006)*IKP!$M$5 + 0.0461)*M82</f>
        <v>6738.834294500175</v>
      </c>
      <c r="R82" s="132">
        <f t="shared" si="8"/>
        <v>1684.4302061263122</v>
      </c>
      <c r="S82" s="132">
        <f t="shared" si="9"/>
        <v>1695.9521119034841</v>
      </c>
      <c r="T82" s="132">
        <f t="shared" si="10"/>
        <v>1697.6728446853629</v>
      </c>
      <c r="U82" s="172">
        <f t="shared" si="11"/>
        <v>1617.320230680042</v>
      </c>
      <c r="V82" s="175"/>
      <c r="W82" s="175"/>
    </row>
    <row r="83" spans="1:23" hidden="1" outlineLevel="1" x14ac:dyDescent="0.3">
      <c r="A83" s="98" t="s">
        <v>78</v>
      </c>
      <c r="B83" s="176" t="s">
        <v>50</v>
      </c>
      <c r="C83" s="176" t="s">
        <v>50</v>
      </c>
      <c r="D83" s="176" t="s">
        <v>438</v>
      </c>
      <c r="E83" s="180">
        <v>286</v>
      </c>
      <c r="F83" s="132">
        <f>VLOOKUP(A83,Iedz_sk!$B$5:$Y$123,15,FALSE)</f>
        <v>9948</v>
      </c>
      <c r="G83" s="132">
        <f>VLOOKUP(A83,Iedz_sk!$B$5:$Y$123,16,FALSE)</f>
        <v>9970</v>
      </c>
      <c r="H83" s="132">
        <f>VLOOKUP(A83,Iedz_sk!$B$5:$Y$123,17,FALSE)</f>
        <v>9993</v>
      </c>
      <c r="I83" s="172">
        <f>VLOOKUP(A83,Iedz_sk!$B$5:$Y$123,24,FALSE)</f>
        <v>10150</v>
      </c>
      <c r="J83" s="133">
        <f>VLOOKUP($A83,IKP!$Q$6:$AC$124,11,FALSE)</f>
        <v>84898.2346564459</v>
      </c>
      <c r="K83" s="133">
        <f>VLOOKUP($A83,IKP!$Q$6:$AC$124,12,FALSE)</f>
        <v>90904.061588980432</v>
      </c>
      <c r="L83" s="133">
        <f>VLOOKUP($A83,IKP!$Q$6:$AC$124,13,FALSE)</f>
        <v>96166.906114270867</v>
      </c>
      <c r="M83" s="172">
        <f>VLOOKUP($A83,IKP!$Q$6:$AD$124,14,FALSE)</f>
        <v>133967.56430193171</v>
      </c>
      <c r="N83" s="132">
        <f>((-0.0000000006)*IKP!$J$5 + 0.0461)*J83</f>
        <v>2330.8781455282528</v>
      </c>
      <c r="O83" s="132">
        <f>((-0.0000000006)*IKP!$K$5 + 0.0461)*K83</f>
        <v>2409.3275444373671</v>
      </c>
      <c r="P83" s="132">
        <f>((-0.0000000006)*IKP!$L$5 + 0.0461)*L83</f>
        <v>2477.2040990424971</v>
      </c>
      <c r="Q83" s="172">
        <f>((-0.0000000006)*IKP!$M$5 + 0.0461)*M83</f>
        <v>2878.6820148238953</v>
      </c>
      <c r="R83" s="132">
        <f t="shared" si="8"/>
        <v>559.41075492678067</v>
      </c>
      <c r="S83" s="132">
        <f t="shared" si="9"/>
        <v>578.23861066496806</v>
      </c>
      <c r="T83" s="132">
        <f t="shared" si="10"/>
        <v>594.52898377019926</v>
      </c>
      <c r="U83" s="172">
        <f t="shared" si="11"/>
        <v>690.88368355773491</v>
      </c>
      <c r="V83" s="175"/>
      <c r="W83" s="175"/>
    </row>
    <row r="84" spans="1:23" hidden="1" outlineLevel="1" x14ac:dyDescent="0.3">
      <c r="A84" s="98" t="s">
        <v>79</v>
      </c>
      <c r="B84" s="176" t="s">
        <v>31</v>
      </c>
      <c r="C84" s="176" t="s">
        <v>31</v>
      </c>
      <c r="D84" s="176" t="s">
        <v>439</v>
      </c>
      <c r="E84" s="180">
        <v>486</v>
      </c>
      <c r="F84" s="132">
        <f>VLOOKUP(A84,Iedz_sk!$B$5:$Y$123,15,FALSE)</f>
        <v>3603</v>
      </c>
      <c r="G84" s="132">
        <f>VLOOKUP(A84,Iedz_sk!$B$5:$Y$123,16,FALSE)</f>
        <v>3540</v>
      </c>
      <c r="H84" s="132">
        <f>VLOOKUP(A84,Iedz_sk!$B$5:$Y$123,17,FALSE)</f>
        <v>3477</v>
      </c>
      <c r="I84" s="172">
        <f>VLOOKUP(A84,Iedz_sk!$B$5:$Y$123,24,FALSE)</f>
        <v>3038</v>
      </c>
      <c r="J84" s="133">
        <f>VLOOKUP($A84,IKP!$Q$6:$AC$124,11,FALSE)</f>
        <v>34024.166332283254</v>
      </c>
      <c r="K84" s="133">
        <f>VLOOKUP($A84,IKP!$Q$6:$AC$124,12,FALSE)</f>
        <v>35967.240994214044</v>
      </c>
      <c r="L84" s="133">
        <f>VLOOKUP($A84,IKP!$Q$6:$AC$124,13,FALSE)</f>
        <v>37559.72523270909</v>
      </c>
      <c r="M84" s="172">
        <f>VLOOKUP($A84,IKP!$Q$6:$AD$124,14,FALSE)</f>
        <v>47838.362799890456</v>
      </c>
      <c r="N84" s="132">
        <f>((-0.0000000006)*IKP!$J$5 + 0.0461)*J84</f>
        <v>934.13232966106068</v>
      </c>
      <c r="O84" s="132">
        <f>((-0.0000000006)*IKP!$K$5 + 0.0461)*K84</f>
        <v>953.27824642855614</v>
      </c>
      <c r="P84" s="132">
        <f>((-0.0000000006)*IKP!$L$5 + 0.0461)*L84</f>
        <v>967.51688356094019</v>
      </c>
      <c r="Q84" s="172">
        <f>((-0.0000000006)*IKP!$M$5 + 0.0461)*M84</f>
        <v>1027.9460952226884</v>
      </c>
      <c r="R84" s="132">
        <f t="shared" si="8"/>
        <v>224.19175911865457</v>
      </c>
      <c r="S84" s="132">
        <f t="shared" si="9"/>
        <v>228.78677914285348</v>
      </c>
      <c r="T84" s="132">
        <f t="shared" si="10"/>
        <v>232.20405205462563</v>
      </c>
      <c r="U84" s="172">
        <f t="shared" si="11"/>
        <v>246.70706285344522</v>
      </c>
      <c r="V84" s="175"/>
      <c r="W84" s="175"/>
    </row>
    <row r="85" spans="1:23" hidden="1" outlineLevel="1" x14ac:dyDescent="0.3">
      <c r="A85" s="98" t="s">
        <v>80</v>
      </c>
      <c r="B85" s="176" t="s">
        <v>441</v>
      </c>
      <c r="C85" s="176" t="s">
        <v>441</v>
      </c>
      <c r="D85" s="176" t="s">
        <v>176</v>
      </c>
      <c r="E85" s="180">
        <v>515</v>
      </c>
      <c r="F85" s="132">
        <f>VLOOKUP(A85,Iedz_sk!$B$5:$Y$123,15,FALSE)</f>
        <v>2543</v>
      </c>
      <c r="G85" s="132">
        <f>VLOOKUP(A85,Iedz_sk!$B$5:$Y$123,16,FALSE)</f>
        <v>2498</v>
      </c>
      <c r="H85" s="132">
        <f>VLOOKUP(A85,Iedz_sk!$B$5:$Y$123,17,FALSE)</f>
        <v>2453</v>
      </c>
      <c r="I85" s="172">
        <f>VLOOKUP(A85,Iedz_sk!$B$5:$Y$123,24,FALSE)</f>
        <v>2137</v>
      </c>
      <c r="J85" s="133">
        <f>VLOOKUP($A85,IKP!$Q$6:$AC$124,11,FALSE)</f>
        <v>24364.903694747249</v>
      </c>
      <c r="K85" s="133">
        <f>VLOOKUP($A85,IKP!$Q$6:$AC$124,12,FALSE)</f>
        <v>25611.123213402912</v>
      </c>
      <c r="L85" s="133">
        <f>VLOOKUP($A85,IKP!$Q$6:$AC$124,13,FALSE)</f>
        <v>26588.026351634424</v>
      </c>
      <c r="M85" s="172">
        <f>VLOOKUP($A85,IKP!$Q$6:$AD$124,14,FALSE)</f>
        <v>32197.756841739389</v>
      </c>
      <c r="N85" s="132">
        <f>((-0.0000000006)*IKP!$J$5 + 0.0461)*J85</f>
        <v>668.93760241073562</v>
      </c>
      <c r="O85" s="132">
        <f>((-0.0000000006)*IKP!$K$5 + 0.0461)*K85</f>
        <v>678.79898349350503</v>
      </c>
      <c r="P85" s="132">
        <f>((-0.0000000006)*IKP!$L$5 + 0.0461)*L85</f>
        <v>684.89224126078773</v>
      </c>
      <c r="Q85" s="172">
        <f>((-0.0000000006)*IKP!$M$5 + 0.0461)*M85</f>
        <v>691.86227293864238</v>
      </c>
      <c r="R85" s="132">
        <f t="shared" si="8"/>
        <v>160.54502457857654</v>
      </c>
      <c r="S85" s="132">
        <f t="shared" si="9"/>
        <v>162.91175603844121</v>
      </c>
      <c r="T85" s="132">
        <f t="shared" si="10"/>
        <v>164.37413790258907</v>
      </c>
      <c r="U85" s="172">
        <f t="shared" si="11"/>
        <v>166.04694550527415</v>
      </c>
      <c r="V85" s="175"/>
      <c r="W85" s="175"/>
    </row>
    <row r="86" spans="1:23" hidden="1" outlineLevel="1" x14ac:dyDescent="0.3">
      <c r="A86" s="98" t="s">
        <v>81</v>
      </c>
      <c r="B86" s="176" t="s">
        <v>11</v>
      </c>
      <c r="C86" s="176" t="s">
        <v>11</v>
      </c>
      <c r="D86" s="176" t="s">
        <v>438</v>
      </c>
      <c r="E86" s="180">
        <v>376</v>
      </c>
      <c r="F86" s="132">
        <f>VLOOKUP(A86,Iedz_sk!$B$5:$Y$123,15,FALSE)</f>
        <v>4765</v>
      </c>
      <c r="G86" s="132">
        <f>VLOOKUP(A86,Iedz_sk!$B$5:$Y$123,16,FALSE)</f>
        <v>4677</v>
      </c>
      <c r="H86" s="132">
        <f>VLOOKUP(A86,Iedz_sk!$B$5:$Y$123,17,FALSE)</f>
        <v>4589</v>
      </c>
      <c r="I86" s="172">
        <f>VLOOKUP(A86,Iedz_sk!$B$5:$Y$123,24,FALSE)</f>
        <v>3972</v>
      </c>
      <c r="J86" s="133">
        <f>VLOOKUP($A86,IKP!$Q$6:$AC$124,11,FALSE)</f>
        <v>40665.469253916839</v>
      </c>
      <c r="K86" s="133">
        <f>VLOOKUP($A86,IKP!$Q$6:$AC$124,12,FALSE)</f>
        <v>42643.760887829638</v>
      </c>
      <c r="L86" s="133">
        <f>VLOOKUP($A86,IKP!$Q$6:$AC$124,13,FALSE)</f>
        <v>44161.906550424203</v>
      </c>
      <c r="M86" s="172">
        <f>VLOOKUP($A86,IKP!$Q$6:$AD$124,14,FALSE)</f>
        <v>52425.533537662341</v>
      </c>
      <c r="N86" s="132">
        <f>((-0.0000000006)*IKP!$J$5 + 0.0461)*J86</f>
        <v>1116.469075537005</v>
      </c>
      <c r="O86" s="132">
        <f>((-0.0000000006)*IKP!$K$5 + 0.0461)*K86</f>
        <v>1130.2331921096857</v>
      </c>
      <c r="P86" s="132">
        <f>((-0.0000000006)*IKP!$L$5 + 0.0461)*L86</f>
        <v>1137.5852707401202</v>
      </c>
      <c r="Q86" s="172">
        <f>((-0.0000000006)*IKP!$M$5 + 0.0461)*M86</f>
        <v>1126.5147746680309</v>
      </c>
      <c r="R86" s="132">
        <f t="shared" si="8"/>
        <v>267.95257812888121</v>
      </c>
      <c r="S86" s="132">
        <f t="shared" si="9"/>
        <v>271.25596610632454</v>
      </c>
      <c r="T86" s="132">
        <f t="shared" si="10"/>
        <v>273.02046497762882</v>
      </c>
      <c r="U86" s="172">
        <f t="shared" si="11"/>
        <v>270.36354592032745</v>
      </c>
      <c r="V86" s="175"/>
      <c r="W86" s="175"/>
    </row>
    <row r="87" spans="1:23" hidden="1" outlineLevel="1" x14ac:dyDescent="0.3">
      <c r="A87" s="98" t="s">
        <v>82</v>
      </c>
      <c r="B87" s="176" t="s">
        <v>82</v>
      </c>
      <c r="C87" s="176" t="s">
        <v>82</v>
      </c>
      <c r="D87" s="176" t="s">
        <v>437</v>
      </c>
      <c r="E87" s="180">
        <v>364</v>
      </c>
      <c r="F87" s="132">
        <f>VLOOKUP(A87,Iedz_sk!$B$5:$Y$123,15,FALSE)</f>
        <v>8948</v>
      </c>
      <c r="G87" s="132">
        <f>VLOOKUP(A87,Iedz_sk!$B$5:$Y$123,16,FALSE)</f>
        <v>8762</v>
      </c>
      <c r="H87" s="132">
        <f>VLOOKUP(A87,Iedz_sk!$B$5:$Y$123,17,FALSE)</f>
        <v>8577</v>
      </c>
      <c r="I87" s="172">
        <f>VLOOKUP(A87,Iedz_sk!$B$5:$Y$123,24,FALSE)</f>
        <v>7277</v>
      </c>
      <c r="J87" s="133">
        <f>VLOOKUP($A87,IKP!$Q$6:$AC$124,11,FALSE)</f>
        <v>58841.164107588316</v>
      </c>
      <c r="K87" s="133">
        <f>VLOOKUP($A87,IKP!$Q$6:$AC$124,12,FALSE)</f>
        <v>61978.675621562441</v>
      </c>
      <c r="L87" s="133">
        <f>VLOOKUP($A87,IKP!$Q$6:$AC$124,13,FALSE)</f>
        <v>64490.008032500285</v>
      </c>
      <c r="M87" s="172">
        <f>VLOOKUP($A87,IKP!$Q$6:$AD$124,14,FALSE)</f>
        <v>79608.75803489385</v>
      </c>
      <c r="N87" s="132">
        <f>((-0.0000000006)*IKP!$J$5 + 0.0461)*J87</f>
        <v>1615.4821596800521</v>
      </c>
      <c r="O87" s="132">
        <f>((-0.0000000006)*IKP!$K$5 + 0.0461)*K87</f>
        <v>1642.6871113631391</v>
      </c>
      <c r="P87" s="132">
        <f>((-0.0000000006)*IKP!$L$5 + 0.0461)*L87</f>
        <v>1661.2254537497922</v>
      </c>
      <c r="Q87" s="172">
        <f>((-0.0000000006)*IKP!$M$5 + 0.0461)*M87</f>
        <v>1710.6252634482792</v>
      </c>
      <c r="R87" s="132">
        <f t="shared" si="8"/>
        <v>387.71571832321251</v>
      </c>
      <c r="S87" s="132">
        <f t="shared" si="9"/>
        <v>394.24490672715342</v>
      </c>
      <c r="T87" s="132">
        <f t="shared" si="10"/>
        <v>398.69410889995015</v>
      </c>
      <c r="U87" s="172">
        <f t="shared" si="11"/>
        <v>410.55006322758697</v>
      </c>
      <c r="V87" s="175"/>
      <c r="W87" s="175"/>
    </row>
    <row r="88" spans="1:23" hidden="1" outlineLevel="1" x14ac:dyDescent="0.3">
      <c r="A88" s="98" t="s">
        <v>83</v>
      </c>
      <c r="B88" s="176" t="s">
        <v>441</v>
      </c>
      <c r="C88" s="176" t="s">
        <v>441</v>
      </c>
      <c r="D88" s="176" t="s">
        <v>176</v>
      </c>
      <c r="E88" s="180">
        <v>520</v>
      </c>
      <c r="F88" s="132">
        <f>VLOOKUP(A88,Iedz_sk!$B$5:$Y$123,15,FALSE)</f>
        <v>4955</v>
      </c>
      <c r="G88" s="132">
        <f>VLOOKUP(A88,Iedz_sk!$B$5:$Y$123,16,FALSE)</f>
        <v>4868</v>
      </c>
      <c r="H88" s="132">
        <f>VLOOKUP(A88,Iedz_sk!$B$5:$Y$123,17,FALSE)</f>
        <v>4781</v>
      </c>
      <c r="I88" s="172">
        <f>VLOOKUP(A88,Iedz_sk!$B$5:$Y$123,24,FALSE)</f>
        <v>4170</v>
      </c>
      <c r="J88" s="133">
        <f>VLOOKUP($A88,IKP!$Q$6:$AC$124,11,FALSE)</f>
        <v>47474.674717842165</v>
      </c>
      <c r="K88" s="133">
        <f>VLOOKUP($A88,IKP!$Q$6:$AC$124,12,FALSE)</f>
        <v>49909.907046775574</v>
      </c>
      <c r="L88" s="133">
        <f>VLOOKUP($A88,IKP!$Q$6:$AC$124,13,FALSE)</f>
        <v>51821.17977462869</v>
      </c>
      <c r="M88" s="172">
        <f>VLOOKUP($A88,IKP!$Q$6:$AD$124,14,FALSE)</f>
        <v>62828.566228382428</v>
      </c>
      <c r="N88" s="132">
        <f>((-0.0000000006)*IKP!$J$5 + 0.0461)*J88</f>
        <v>1303.415580002043</v>
      </c>
      <c r="O88" s="132">
        <f>((-0.0000000006)*IKP!$K$5 + 0.0461)*K88</f>
        <v>1322.815633165085</v>
      </c>
      <c r="P88" s="132">
        <f>((-0.0000000006)*IKP!$L$5 + 0.0461)*L88</f>
        <v>1334.883736432053</v>
      </c>
      <c r="Q88" s="172">
        <f>((-0.0000000006)*IKP!$M$5 + 0.0461)*M88</f>
        <v>1350.0541310969297</v>
      </c>
      <c r="R88" s="132">
        <f t="shared" si="8"/>
        <v>312.81973920049035</v>
      </c>
      <c r="S88" s="132">
        <f t="shared" si="9"/>
        <v>317.47575195962042</v>
      </c>
      <c r="T88" s="132">
        <f t="shared" si="10"/>
        <v>320.37209674369274</v>
      </c>
      <c r="U88" s="172">
        <f t="shared" si="11"/>
        <v>324.01299146326312</v>
      </c>
      <c r="V88" s="175"/>
      <c r="W88" s="175"/>
    </row>
    <row r="89" spans="1:23" hidden="1" outlineLevel="1" x14ac:dyDescent="0.3">
      <c r="A89" s="98" t="s">
        <v>84</v>
      </c>
      <c r="B89" s="176" t="s">
        <v>31</v>
      </c>
      <c r="C89" s="176" t="s">
        <v>31</v>
      </c>
      <c r="D89" s="176" t="s">
        <v>439</v>
      </c>
      <c r="E89" s="180">
        <v>301</v>
      </c>
      <c r="F89" s="132">
        <f>VLOOKUP(A89,Iedz_sk!$B$5:$Y$123,15,FALSE)</f>
        <v>7509</v>
      </c>
      <c r="G89" s="132">
        <f>VLOOKUP(A89,Iedz_sk!$B$5:$Y$123,16,FALSE)</f>
        <v>7377</v>
      </c>
      <c r="H89" s="132">
        <f>VLOOKUP(A89,Iedz_sk!$B$5:$Y$123,17,FALSE)</f>
        <v>7245</v>
      </c>
      <c r="I89" s="172">
        <f>VLOOKUP(A89,Iedz_sk!$B$5:$Y$123,24,FALSE)</f>
        <v>6320</v>
      </c>
      <c r="J89" s="133">
        <f>VLOOKUP($A89,IKP!$Q$6:$AC$124,11,FALSE)</f>
        <v>70909.648900670261</v>
      </c>
      <c r="K89" s="133">
        <f>VLOOKUP($A89,IKP!$Q$6:$AC$124,12,FALSE)</f>
        <v>74952.072546417228</v>
      </c>
      <c r="L89" s="133">
        <f>VLOOKUP($A89,IKP!$Q$6:$AC$124,13,FALSE)</f>
        <v>78262.930489208331</v>
      </c>
      <c r="M89" s="172">
        <f>VLOOKUP($A89,IKP!$Q$6:$AD$124,14,FALSE)</f>
        <v>99518.911420443619</v>
      </c>
      <c r="N89" s="132">
        <f>((-0.0000000006)*IKP!$J$5 + 0.0461)*J89</f>
        <v>1946.8219992852914</v>
      </c>
      <c r="O89" s="132">
        <f>((-0.0000000006)*IKP!$K$5 + 0.0461)*K89</f>
        <v>1986.5349220066266</v>
      </c>
      <c r="P89" s="132">
        <f>((-0.0000000006)*IKP!$L$5 + 0.0461)*L89</f>
        <v>2016.0080015527788</v>
      </c>
      <c r="Q89" s="172">
        <f>((-0.0000000006)*IKP!$M$5 + 0.0461)*M89</f>
        <v>2138.4527063223804</v>
      </c>
      <c r="R89" s="132">
        <f t="shared" si="8"/>
        <v>467.23727982846992</v>
      </c>
      <c r="S89" s="132">
        <f t="shared" si="9"/>
        <v>476.76838128159039</v>
      </c>
      <c r="T89" s="132">
        <f t="shared" si="10"/>
        <v>483.84192037266689</v>
      </c>
      <c r="U89" s="172">
        <f t="shared" si="11"/>
        <v>513.22864951737131</v>
      </c>
      <c r="V89" s="175"/>
      <c r="W89" s="175"/>
    </row>
    <row r="90" spans="1:23" hidden="1" outlineLevel="1" x14ac:dyDescent="0.3">
      <c r="A90" s="98" t="s">
        <v>85</v>
      </c>
      <c r="B90" s="176" t="s">
        <v>103</v>
      </c>
      <c r="C90" s="176" t="s">
        <v>103</v>
      </c>
      <c r="D90" s="176" t="s">
        <v>439</v>
      </c>
      <c r="E90" s="180">
        <v>309</v>
      </c>
      <c r="F90" s="132">
        <f>VLOOKUP(A90,Iedz_sk!$B$5:$Y$123,15,FALSE)</f>
        <v>3005</v>
      </c>
      <c r="G90" s="132">
        <f>VLOOKUP(A90,Iedz_sk!$B$5:$Y$123,16,FALSE)</f>
        <v>2919</v>
      </c>
      <c r="H90" s="132">
        <f>VLOOKUP(A90,Iedz_sk!$B$5:$Y$123,17,FALSE)</f>
        <v>2832</v>
      </c>
      <c r="I90" s="172">
        <f>VLOOKUP(A90,Iedz_sk!$B$5:$Y$123,24,FALSE)</f>
        <v>2228</v>
      </c>
      <c r="J90" s="133">
        <f>VLOOKUP($A90,IKP!$Q$6:$AC$124,11,FALSE)</f>
        <v>28377.080163339208</v>
      </c>
      <c r="K90" s="133">
        <f>VLOOKUP($A90,IKP!$Q$6:$AC$124,12,FALSE)</f>
        <v>29657.733463873104</v>
      </c>
      <c r="L90" s="133">
        <f>VLOOKUP($A90,IKP!$Q$6:$AC$124,13,FALSE)</f>
        <v>30592.217963483505</v>
      </c>
      <c r="M90" s="172">
        <f>VLOOKUP($A90,IKP!$Q$6:$AD$124,14,FALSE)</f>
        <v>35083.56560834626</v>
      </c>
      <c r="N90" s="132">
        <f>((-0.0000000006)*IKP!$J$5 + 0.0461)*J90</f>
        <v>779.09177092186712</v>
      </c>
      <c r="O90" s="132">
        <f>((-0.0000000006)*IKP!$K$5 + 0.0461)*K90</f>
        <v>786.05062184320764</v>
      </c>
      <c r="P90" s="132">
        <f>((-0.0000000006)*IKP!$L$5 + 0.0461)*L90</f>
        <v>788.03791033781499</v>
      </c>
      <c r="Q90" s="172">
        <f>((-0.0000000006)*IKP!$M$5 + 0.0461)*M90</f>
        <v>753.8722515326366</v>
      </c>
      <c r="R90" s="132">
        <f t="shared" si="8"/>
        <v>186.98202502124812</v>
      </c>
      <c r="S90" s="132">
        <f t="shared" si="9"/>
        <v>188.65214924236986</v>
      </c>
      <c r="T90" s="132">
        <f t="shared" si="10"/>
        <v>189.1290984810756</v>
      </c>
      <c r="U90" s="172">
        <f t="shared" si="11"/>
        <v>180.92934036783276</v>
      </c>
      <c r="V90" s="175"/>
      <c r="W90" s="175"/>
    </row>
    <row r="91" spans="1:23" hidden="1" outlineLevel="1" x14ac:dyDescent="0.3">
      <c r="A91" s="98" t="s">
        <v>86</v>
      </c>
      <c r="B91" s="176" t="s">
        <v>86</v>
      </c>
      <c r="C91" s="176" t="s">
        <v>86</v>
      </c>
      <c r="D91" s="176" t="s">
        <v>437</v>
      </c>
      <c r="E91" s="180">
        <v>2525</v>
      </c>
      <c r="F91" s="132">
        <f>VLOOKUP(A91,Iedz_sk!$B$5:$Y$123,15,FALSE)</f>
        <v>24244</v>
      </c>
      <c r="G91" s="132">
        <f>VLOOKUP(A91,Iedz_sk!$B$5:$Y$123,16,FALSE)</f>
        <v>23823</v>
      </c>
      <c r="H91" s="132">
        <f>VLOOKUP(A91,Iedz_sk!$B$5:$Y$123,17,FALSE)</f>
        <v>23402</v>
      </c>
      <c r="I91" s="172">
        <f>VLOOKUP(A91,Iedz_sk!$B$5:$Y$123,24,FALSE)</f>
        <v>20457</v>
      </c>
      <c r="J91" s="133">
        <f>VLOOKUP($A91,IKP!$Q$6:$AC$124,11,FALSE)</f>
        <v>159426.14915337184</v>
      </c>
      <c r="K91" s="133">
        <f>VLOOKUP($A91,IKP!$Q$6:$AC$124,12,FALSE)</f>
        <v>168513.80841502876</v>
      </c>
      <c r="L91" s="133">
        <f>VLOOKUP($A91,IKP!$Q$6:$AC$124,13,FALSE)</f>
        <v>175958.39663945106</v>
      </c>
      <c r="M91" s="172">
        <f>VLOOKUP($A91,IKP!$Q$6:$AD$124,14,FALSE)</f>
        <v>223795.02035451744</v>
      </c>
      <c r="N91" s="132">
        <f>((-0.0000000006)*IKP!$J$5 + 0.0461)*J91</f>
        <v>4377.0395037196222</v>
      </c>
      <c r="O91" s="132">
        <f>((-0.0000000006)*IKP!$K$5 + 0.0461)*K91</f>
        <v>4466.301649623837</v>
      </c>
      <c r="P91" s="132">
        <f>((-0.0000000006)*IKP!$L$5 + 0.0461)*L91</f>
        <v>4532.5869265072442</v>
      </c>
      <c r="Q91" s="172">
        <f>((-0.0000000006)*IKP!$M$5 + 0.0461)*M91</f>
        <v>4808.885669144076</v>
      </c>
      <c r="R91" s="132">
        <f t="shared" si="8"/>
        <v>1050.4894808927095</v>
      </c>
      <c r="S91" s="132">
        <f t="shared" si="9"/>
        <v>1071.912395909721</v>
      </c>
      <c r="T91" s="132">
        <f t="shared" si="10"/>
        <v>1087.8208623617386</v>
      </c>
      <c r="U91" s="172">
        <f t="shared" si="11"/>
        <v>1154.1325605945783</v>
      </c>
      <c r="V91" s="175"/>
      <c r="W91" s="175"/>
    </row>
    <row r="92" spans="1:23" hidden="1" outlineLevel="1" x14ac:dyDescent="0.3">
      <c r="A92" s="98" t="s">
        <v>87</v>
      </c>
      <c r="B92" s="176" t="s">
        <v>82</v>
      </c>
      <c r="C92" s="176" t="s">
        <v>82</v>
      </c>
      <c r="D92" s="176" t="s">
        <v>437</v>
      </c>
      <c r="E92" s="180">
        <v>630</v>
      </c>
      <c r="F92" s="132">
        <f>VLOOKUP(A92,Iedz_sk!$B$5:$Y$123,15,FALSE)</f>
        <v>4466</v>
      </c>
      <c r="G92" s="132">
        <f>VLOOKUP(A92,Iedz_sk!$B$5:$Y$123,16,FALSE)</f>
        <v>4370</v>
      </c>
      <c r="H92" s="132">
        <f>VLOOKUP(A92,Iedz_sk!$B$5:$Y$123,17,FALSE)</f>
        <v>4275</v>
      </c>
      <c r="I92" s="172">
        <f>VLOOKUP(A92,Iedz_sk!$B$5:$Y$123,24,FALSE)</f>
        <v>3606</v>
      </c>
      <c r="J92" s="133">
        <f>VLOOKUP($A92,IKP!$Q$6:$AC$124,11,FALSE)</f>
        <v>29367.974844042183</v>
      </c>
      <c r="K92" s="133">
        <f>VLOOKUP($A92,IKP!$Q$6:$AC$124,12,FALSE)</f>
        <v>30911.528471379581</v>
      </c>
      <c r="L92" s="133">
        <f>VLOOKUP($A92,IKP!$Q$6:$AC$124,13,FALSE)</f>
        <v>32143.498232358485</v>
      </c>
      <c r="M92" s="172">
        <f>VLOOKUP($A92,IKP!$Q$6:$AD$124,14,FALSE)</f>
        <v>39448.8362613477</v>
      </c>
      <c r="N92" s="132">
        <f>((-0.0000000006)*IKP!$J$5 + 0.0461)*J92</f>
        <v>806.29675068519362</v>
      </c>
      <c r="O92" s="132">
        <f>((-0.0000000006)*IKP!$K$5 + 0.0461)*K92</f>
        <v>819.28129156093564</v>
      </c>
      <c r="P92" s="132">
        <f>((-0.0000000006)*IKP!$L$5 + 0.0461)*L92</f>
        <v>827.99799636007481</v>
      </c>
      <c r="Q92" s="172">
        <f>((-0.0000000006)*IKP!$M$5 + 0.0461)*M92</f>
        <v>847.6727635006863</v>
      </c>
      <c r="R92" s="132">
        <f t="shared" si="8"/>
        <v>193.51122016444646</v>
      </c>
      <c r="S92" s="132">
        <f t="shared" si="9"/>
        <v>196.62750997462459</v>
      </c>
      <c r="T92" s="132">
        <f t="shared" si="10"/>
        <v>198.71951912641796</v>
      </c>
      <c r="U92" s="172">
        <f t="shared" si="11"/>
        <v>203.44146324016472</v>
      </c>
      <c r="V92" s="175"/>
      <c r="W92" s="175"/>
    </row>
    <row r="93" spans="1:23" hidden="1" outlineLevel="1" x14ac:dyDescent="0.3">
      <c r="A93" s="98" t="s">
        <v>88</v>
      </c>
      <c r="B93" s="176" t="s">
        <v>106</v>
      </c>
      <c r="C93" s="176" t="s">
        <v>106</v>
      </c>
      <c r="D93" s="176" t="s">
        <v>440</v>
      </c>
      <c r="E93" s="180">
        <v>200</v>
      </c>
      <c r="F93" s="132">
        <f>VLOOKUP(A93,Iedz_sk!$B$5:$Y$123,15,FALSE)</f>
        <v>3390</v>
      </c>
      <c r="G93" s="132">
        <f>VLOOKUP(A93,Iedz_sk!$B$5:$Y$123,16,FALSE)</f>
        <v>3328</v>
      </c>
      <c r="H93" s="132">
        <f>VLOOKUP(A93,Iedz_sk!$B$5:$Y$123,17,FALSE)</f>
        <v>3266</v>
      </c>
      <c r="I93" s="172">
        <f>VLOOKUP(A93,Iedz_sk!$B$5:$Y$123,24,FALSE)</f>
        <v>2831</v>
      </c>
      <c r="J93" s="133">
        <f>VLOOKUP($A93,IKP!$Q$6:$AC$124,11,FALSE)</f>
        <v>32480.150816041358</v>
      </c>
      <c r="K93" s="133">
        <f>VLOOKUP($A93,IKP!$Q$6:$AC$124,12,FALSE)</f>
        <v>34120.823880786586</v>
      </c>
      <c r="L93" s="133">
        <f>VLOOKUP($A93,IKP!$Q$6:$AC$124,13,FALSE)</f>
        <v>35400.119879509999</v>
      </c>
      <c r="M93" s="172">
        <f>VLOOKUP($A93,IKP!$Q$6:$AD$124,14,FALSE)</f>
        <v>42654.117744016941</v>
      </c>
      <c r="N93" s="132">
        <f>((-0.0000000006)*IKP!$J$5 + 0.0461)*J93</f>
        <v>891.74143616688707</v>
      </c>
      <c r="O93" s="132">
        <f>((-0.0000000006)*IKP!$K$5 + 0.0461)*K93</f>
        <v>904.34067937004988</v>
      </c>
      <c r="P93" s="132">
        <f>((-0.0000000006)*IKP!$L$5 + 0.0461)*L93</f>
        <v>911.88669382704154</v>
      </c>
      <c r="Q93" s="172">
        <f>((-0.0000000006)*IKP!$M$5 + 0.0461)*M93</f>
        <v>916.54754079985798</v>
      </c>
      <c r="R93" s="132">
        <f t="shared" si="8"/>
        <v>214.01794468005289</v>
      </c>
      <c r="S93" s="132">
        <f t="shared" si="9"/>
        <v>217.04176304881199</v>
      </c>
      <c r="T93" s="132">
        <f t="shared" si="10"/>
        <v>218.85280651848998</v>
      </c>
      <c r="U93" s="172">
        <f t="shared" si="11"/>
        <v>219.97140979196593</v>
      </c>
      <c r="V93" s="175"/>
      <c r="W93" s="175"/>
    </row>
    <row r="94" spans="1:23" hidden="1" outlineLevel="1" x14ac:dyDescent="0.3">
      <c r="A94" s="98" t="s">
        <v>89</v>
      </c>
      <c r="B94" s="176" t="s">
        <v>89</v>
      </c>
      <c r="C94" s="176" t="s">
        <v>89</v>
      </c>
      <c r="D94" s="176" t="s">
        <v>438</v>
      </c>
      <c r="E94" s="180">
        <v>325</v>
      </c>
      <c r="F94" s="132">
        <f>VLOOKUP(A94,Iedz_sk!$B$5:$Y$123,15,FALSE)</f>
        <v>6836</v>
      </c>
      <c r="G94" s="132">
        <f>VLOOKUP(A94,Iedz_sk!$B$5:$Y$123,16,FALSE)</f>
        <v>6846</v>
      </c>
      <c r="H94" s="132">
        <f>VLOOKUP(A94,Iedz_sk!$B$5:$Y$123,17,FALSE)</f>
        <v>6856</v>
      </c>
      <c r="I94" s="172">
        <f>VLOOKUP(A94,Iedz_sk!$B$5:$Y$123,24,FALSE)</f>
        <v>6924</v>
      </c>
      <c r="J94" s="133">
        <f>VLOOKUP($A94,IKP!$Q$6:$AC$124,11,FALSE)</f>
        <v>88684.247194200099</v>
      </c>
      <c r="K94" s="133">
        <f>VLOOKUP($A94,IKP!$Q$6:$AC$124,12,FALSE)</f>
        <v>93632.305827887758</v>
      </c>
      <c r="L94" s="133">
        <f>VLOOKUP($A94,IKP!$Q$6:$AC$124,13,FALSE)</f>
        <v>97634.391078634071</v>
      </c>
      <c r="M94" s="172">
        <f>VLOOKUP($A94,IKP!$Q$6:$AD$124,14,FALSE)</f>
        <v>121963.59521551157</v>
      </c>
      <c r="N94" s="132">
        <f>((-0.0000000006)*IKP!$J$5 + 0.0461)*J94</f>
        <v>2434.8229910089381</v>
      </c>
      <c r="O94" s="132">
        <f>((-0.0000000006)*IKP!$K$5 + 0.0461)*K94</f>
        <v>2481.6371187055956</v>
      </c>
      <c r="P94" s="132">
        <f>((-0.0000000006)*IKP!$L$5 + 0.0461)*L94</f>
        <v>2515.0056662956245</v>
      </c>
      <c r="Q94" s="172">
        <f>((-0.0000000006)*IKP!$M$5 + 0.0461)*M94</f>
        <v>2620.7418925589313</v>
      </c>
      <c r="R94" s="132">
        <f t="shared" si="8"/>
        <v>584.35751784214517</v>
      </c>
      <c r="S94" s="132">
        <f t="shared" si="9"/>
        <v>595.59290848934302</v>
      </c>
      <c r="T94" s="132">
        <f t="shared" si="10"/>
        <v>603.6013599109499</v>
      </c>
      <c r="U94" s="172">
        <f t="shared" si="11"/>
        <v>628.97805421414353</v>
      </c>
      <c r="V94" s="175"/>
      <c r="W94" s="175"/>
    </row>
    <row r="95" spans="1:23" hidden="1" outlineLevel="1" x14ac:dyDescent="0.3">
      <c r="A95" s="98" t="s">
        <v>90</v>
      </c>
      <c r="B95" s="176" t="s">
        <v>441</v>
      </c>
      <c r="C95" s="176" t="s">
        <v>441</v>
      </c>
      <c r="D95" s="176" t="s">
        <v>176</v>
      </c>
      <c r="E95" s="180">
        <v>448</v>
      </c>
      <c r="F95" s="132">
        <f>VLOOKUP(A95,Iedz_sk!$B$5:$Y$123,15,FALSE)</f>
        <v>1505</v>
      </c>
      <c r="G95" s="132">
        <f>VLOOKUP(A95,Iedz_sk!$B$5:$Y$123,16,FALSE)</f>
        <v>1463</v>
      </c>
      <c r="H95" s="132">
        <f>VLOOKUP(A95,Iedz_sk!$B$5:$Y$123,17,FALSE)</f>
        <v>1421</v>
      </c>
      <c r="I95" s="172">
        <f>VLOOKUP(A95,Iedz_sk!$B$5:$Y$123,24,FALSE)</f>
        <v>1127</v>
      </c>
      <c r="J95" s="133">
        <f>VLOOKUP($A95,IKP!$Q$6:$AC$124,11,FALSE)</f>
        <v>14419.653975853169</v>
      </c>
      <c r="K95" s="133">
        <f>VLOOKUP($A95,IKP!$Q$6:$AC$124,12,FALSE)</f>
        <v>14999.629007689537</v>
      </c>
      <c r="L95" s="133">
        <f>VLOOKUP($A95,IKP!$Q$6:$AC$124,13,FALSE)</f>
        <v>15402.195452781296</v>
      </c>
      <c r="M95" s="172">
        <f>VLOOKUP($A95,IKP!$Q$6:$AD$124,14,FALSE)</f>
        <v>16980.286364361389</v>
      </c>
      <c r="N95" s="132">
        <f>((-0.0000000006)*IKP!$J$5 + 0.0461)*J95</f>
        <v>395.89110956671539</v>
      </c>
      <c r="O95" s="132">
        <f>((-0.0000000006)*IKP!$K$5 + 0.0461)*K95</f>
        <v>397.55120610528337</v>
      </c>
      <c r="P95" s="132">
        <f>((-0.0000000006)*IKP!$L$5 + 0.0461)*L95</f>
        <v>396.75168154569076</v>
      </c>
      <c r="Q95" s="172">
        <f>((-0.0000000006)*IKP!$M$5 + 0.0461)*M95</f>
        <v>364.87074478327094</v>
      </c>
      <c r="R95" s="132">
        <f t="shared" si="8"/>
        <v>95.013866296011699</v>
      </c>
      <c r="S95" s="132">
        <f t="shared" si="9"/>
        <v>95.412289465268003</v>
      </c>
      <c r="T95" s="132">
        <f t="shared" si="10"/>
        <v>95.220403570965786</v>
      </c>
      <c r="U95" s="172">
        <f t="shared" si="11"/>
        <v>87.568978747985028</v>
      </c>
      <c r="V95" s="175"/>
      <c r="W95" s="175"/>
    </row>
    <row r="96" spans="1:23" hidden="1" outlineLevel="1" x14ac:dyDescent="0.3">
      <c r="A96" s="98" t="s">
        <v>91</v>
      </c>
      <c r="B96" s="176" t="s">
        <v>24</v>
      </c>
      <c r="C96" s="176" t="s">
        <v>24</v>
      </c>
      <c r="D96" s="176" t="s">
        <v>439</v>
      </c>
      <c r="E96" s="180">
        <v>515</v>
      </c>
      <c r="F96" s="132">
        <f>VLOOKUP(A96,Iedz_sk!$B$5:$Y$123,15,FALSE)</f>
        <v>2026</v>
      </c>
      <c r="G96" s="132">
        <f>VLOOKUP(A96,Iedz_sk!$B$5:$Y$123,16,FALSE)</f>
        <v>2003</v>
      </c>
      <c r="H96" s="132">
        <f>VLOOKUP(A96,Iedz_sk!$B$5:$Y$123,17,FALSE)</f>
        <v>1980</v>
      </c>
      <c r="I96" s="172">
        <f>VLOOKUP(A96,Iedz_sk!$B$5:$Y$123,24,FALSE)</f>
        <v>1818</v>
      </c>
      <c r="J96" s="133">
        <f>VLOOKUP($A96,IKP!$Q$6:$AC$124,11,FALSE)</f>
        <v>13322.775869688638</v>
      </c>
      <c r="K96" s="133">
        <f>VLOOKUP($A96,IKP!$Q$6:$AC$124,12,FALSE)</f>
        <v>14168.373347408078</v>
      </c>
      <c r="L96" s="133">
        <f>VLOOKUP($A96,IKP!$Q$6:$AC$124,13,FALSE)</f>
        <v>14887.514970776561</v>
      </c>
      <c r="M96" s="172">
        <f>VLOOKUP($A96,IKP!$Q$6:$AD$124,14,FALSE)</f>
        <v>19888.514787335029</v>
      </c>
      <c r="N96" s="132">
        <f>((-0.0000000006)*IKP!$J$5 + 0.0461)*J96</f>
        <v>365.77635846130812</v>
      </c>
      <c r="O96" s="132">
        <f>((-0.0000000006)*IKP!$K$5 + 0.0461)*K96</f>
        <v>375.51954851179727</v>
      </c>
      <c r="P96" s="132">
        <f>((-0.0000000006)*IKP!$L$5 + 0.0461)*L96</f>
        <v>383.4938088404557</v>
      </c>
      <c r="Q96" s="172">
        <f>((-0.0000000006)*IKP!$M$5 + 0.0461)*M96</f>
        <v>427.36247477655229</v>
      </c>
      <c r="R96" s="132">
        <f t="shared" si="8"/>
        <v>87.786326030713937</v>
      </c>
      <c r="S96" s="132">
        <f t="shared" si="9"/>
        <v>90.124691642831351</v>
      </c>
      <c r="T96" s="132">
        <f t="shared" si="10"/>
        <v>92.038514121709369</v>
      </c>
      <c r="U96" s="172">
        <f t="shared" si="11"/>
        <v>102.56699394637256</v>
      </c>
      <c r="V96" s="175"/>
      <c r="W96" s="175"/>
    </row>
    <row r="97" spans="1:23" hidden="1" outlineLevel="1" x14ac:dyDescent="0.3">
      <c r="A97" s="98" t="s">
        <v>92</v>
      </c>
      <c r="B97" s="176" t="s">
        <v>25</v>
      </c>
      <c r="C97" s="176" t="s">
        <v>25</v>
      </c>
      <c r="D97" s="176" t="s">
        <v>438</v>
      </c>
      <c r="E97" s="180">
        <v>231</v>
      </c>
      <c r="F97" s="132">
        <f>VLOOKUP(A97,Iedz_sk!$B$5:$Y$123,15,FALSE)</f>
        <v>3290</v>
      </c>
      <c r="G97" s="132">
        <f>VLOOKUP(A97,Iedz_sk!$B$5:$Y$123,16,FALSE)</f>
        <v>3249</v>
      </c>
      <c r="H97" s="132">
        <f>VLOOKUP(A97,Iedz_sk!$B$5:$Y$123,17,FALSE)</f>
        <v>3207</v>
      </c>
      <c r="I97" s="172">
        <f>VLOOKUP(A97,Iedz_sk!$B$5:$Y$123,24,FALSE)</f>
        <v>2917</v>
      </c>
      <c r="J97" s="133">
        <f>VLOOKUP($A97,IKP!$Q$6:$AC$124,11,FALSE)</f>
        <v>28077.522318024428</v>
      </c>
      <c r="K97" s="133">
        <f>VLOOKUP($A97,IKP!$Q$6:$AC$124,12,FALSE)</f>
        <v>29623.600411494226</v>
      </c>
      <c r="L97" s="133">
        <f>VLOOKUP($A97,IKP!$Q$6:$AC$124,13,FALSE)</f>
        <v>30862.330422142168</v>
      </c>
      <c r="M97" s="172">
        <f>VLOOKUP($A97,IKP!$Q$6:$AD$124,14,FALSE)</f>
        <v>38500.826115146287</v>
      </c>
      <c r="N97" s="132">
        <f>((-0.0000000006)*IKP!$J$5 + 0.0461)*J97</f>
        <v>770.86742046521431</v>
      </c>
      <c r="O97" s="132">
        <f>((-0.0000000006)*IKP!$K$5 + 0.0461)*K97</f>
        <v>785.14595705887723</v>
      </c>
      <c r="P97" s="132">
        <f>((-0.0000000006)*IKP!$L$5 + 0.0461)*L97</f>
        <v>794.99585165909025</v>
      </c>
      <c r="Q97" s="172">
        <f>((-0.0000000006)*IKP!$M$5 + 0.0461)*M97</f>
        <v>827.30201352131064</v>
      </c>
      <c r="R97" s="132">
        <f t="shared" si="8"/>
        <v>185.00818091165144</v>
      </c>
      <c r="S97" s="132">
        <f t="shared" si="9"/>
        <v>188.43502969413055</v>
      </c>
      <c r="T97" s="132">
        <f t="shared" si="10"/>
        <v>190.79900439818167</v>
      </c>
      <c r="U97" s="172">
        <f t="shared" si="11"/>
        <v>198.55248324511459</v>
      </c>
      <c r="V97" s="175"/>
      <c r="W97" s="175"/>
    </row>
    <row r="98" spans="1:23" hidden="1" outlineLevel="1" x14ac:dyDescent="0.3">
      <c r="A98" s="98" t="s">
        <v>93</v>
      </c>
      <c r="B98" s="176" t="s">
        <v>442</v>
      </c>
      <c r="C98" s="176" t="s">
        <v>442</v>
      </c>
      <c r="D98" s="176" t="s">
        <v>439</v>
      </c>
      <c r="E98" s="180">
        <v>353</v>
      </c>
      <c r="F98" s="132">
        <f>VLOOKUP(A98,Iedz_sk!$B$5:$Y$123,15,FALSE)</f>
        <v>4817</v>
      </c>
      <c r="G98" s="132">
        <f>VLOOKUP(A98,Iedz_sk!$B$5:$Y$123,16,FALSE)</f>
        <v>4711</v>
      </c>
      <c r="H98" s="132">
        <f>VLOOKUP(A98,Iedz_sk!$B$5:$Y$123,17,FALSE)</f>
        <v>4605</v>
      </c>
      <c r="I98" s="172">
        <f>VLOOKUP(A98,Iedz_sk!$B$5:$Y$123,24,FALSE)</f>
        <v>3865</v>
      </c>
      <c r="J98" s="133">
        <f>VLOOKUP($A98,IKP!$Q$6:$AC$124,11,FALSE)</f>
        <v>45488.317852514134</v>
      </c>
      <c r="K98" s="133">
        <f>VLOOKUP($A98,IKP!$Q$6:$AC$124,12,FALSE)</f>
        <v>47864.879187497841</v>
      </c>
      <c r="L98" s="133">
        <f>VLOOKUP($A98,IKP!$Q$6:$AC$124,13,FALSE)</f>
        <v>49744.761201215231</v>
      </c>
      <c r="M98" s="172">
        <f>VLOOKUP($A98,IKP!$Q$6:$AD$124,14,FALSE)</f>
        <v>60860.853265825092</v>
      </c>
      <c r="N98" s="132">
        <f>((-0.0000000006)*IKP!$J$5 + 0.0461)*J98</f>
        <v>1248.8802198105273</v>
      </c>
      <c r="O98" s="132">
        <f>((-0.0000000006)*IKP!$K$5 + 0.0461)*K98</f>
        <v>1268.6140731426349</v>
      </c>
      <c r="P98" s="132">
        <f>((-0.0000000006)*IKP!$L$5 + 0.0461)*L98</f>
        <v>1281.3963902209173</v>
      </c>
      <c r="Q98" s="172">
        <f>((-0.0000000006)*IKP!$M$5 + 0.0461)*M98</f>
        <v>1307.7721060025317</v>
      </c>
      <c r="R98" s="132">
        <f t="shared" si="8"/>
        <v>299.73125275452657</v>
      </c>
      <c r="S98" s="132">
        <f t="shared" si="9"/>
        <v>304.46737755423237</v>
      </c>
      <c r="T98" s="132">
        <f t="shared" si="10"/>
        <v>307.53513365302013</v>
      </c>
      <c r="U98" s="172">
        <f t="shared" si="11"/>
        <v>313.86530544060759</v>
      </c>
      <c r="V98" s="175"/>
      <c r="W98" s="175"/>
    </row>
    <row r="99" spans="1:23" hidden="1" outlineLevel="1" x14ac:dyDescent="0.3">
      <c r="A99" s="98" t="s">
        <v>94</v>
      </c>
      <c r="B99" s="176" t="s">
        <v>63</v>
      </c>
      <c r="C99" s="176" t="s">
        <v>63</v>
      </c>
      <c r="D99" s="176" t="s">
        <v>439</v>
      </c>
      <c r="E99" s="180">
        <v>638</v>
      </c>
      <c r="F99" s="132">
        <f>VLOOKUP(A99,Iedz_sk!$B$5:$Y$123,15,FALSE)</f>
        <v>7282</v>
      </c>
      <c r="G99" s="132">
        <f>VLOOKUP(A99,Iedz_sk!$B$5:$Y$123,16,FALSE)</f>
        <v>7147</v>
      </c>
      <c r="H99" s="132">
        <f>VLOOKUP(A99,Iedz_sk!$B$5:$Y$123,17,FALSE)</f>
        <v>7012</v>
      </c>
      <c r="I99" s="172">
        <f>VLOOKUP(A99,Iedz_sk!$B$5:$Y$123,24,FALSE)</f>
        <v>6066</v>
      </c>
      <c r="J99" s="133">
        <f>VLOOKUP($A99,IKP!$Q$6:$AC$124,11,FALSE)</f>
        <v>94470.258640749729</v>
      </c>
      <c r="K99" s="133">
        <f>VLOOKUP($A99,IKP!$Q$6:$AC$124,12,FALSE)</f>
        <v>97749.063650586293</v>
      </c>
      <c r="L99" s="133">
        <f>VLOOKUP($A99,IKP!$Q$6:$AC$124,13,FALSE)</f>
        <v>99855.943734448971</v>
      </c>
      <c r="M99" s="172">
        <f>VLOOKUP($A99,IKP!$Q$6:$AD$124,14,FALSE)</f>
        <v>106850.25542710762</v>
      </c>
      <c r="N99" s="132">
        <f>((-0.0000000006)*IKP!$J$5 + 0.0461)*J99</f>
        <v>2593.6777385206392</v>
      </c>
      <c r="O99" s="132">
        <f>((-0.0000000006)*IKP!$K$5 + 0.0461)*K99</f>
        <v>2590.7479531681115</v>
      </c>
      <c r="P99" s="132">
        <f>((-0.0000000006)*IKP!$L$5 + 0.0461)*L99</f>
        <v>2572.2315828566102</v>
      </c>
      <c r="Q99" s="172">
        <f>((-0.0000000006)*IKP!$M$5 + 0.0461)*M99</f>
        <v>2295.9879145381974</v>
      </c>
      <c r="R99" s="132">
        <f t="shared" si="8"/>
        <v>622.48265724495343</v>
      </c>
      <c r="S99" s="132">
        <f t="shared" si="9"/>
        <v>621.77950876034674</v>
      </c>
      <c r="T99" s="132">
        <f t="shared" si="10"/>
        <v>617.33557988558653</v>
      </c>
      <c r="U99" s="172">
        <f t="shared" si="11"/>
        <v>551.03709948916742</v>
      </c>
      <c r="V99" s="175"/>
      <c r="W99" s="175"/>
    </row>
    <row r="100" spans="1:23" hidden="1" outlineLevel="1" x14ac:dyDescent="0.3">
      <c r="A100" s="98" t="s">
        <v>95</v>
      </c>
      <c r="B100" s="176" t="s">
        <v>51</v>
      </c>
      <c r="C100" s="176" t="s">
        <v>51</v>
      </c>
      <c r="D100" s="176" t="s">
        <v>437</v>
      </c>
      <c r="E100" s="180">
        <v>317</v>
      </c>
      <c r="F100" s="132">
        <f>VLOOKUP(A100,Iedz_sk!$B$5:$Y$123,15,FALSE)</f>
        <v>3241</v>
      </c>
      <c r="G100" s="132">
        <f>VLOOKUP(A100,Iedz_sk!$B$5:$Y$123,16,FALSE)</f>
        <v>3189</v>
      </c>
      <c r="H100" s="132">
        <f>VLOOKUP(A100,Iedz_sk!$B$5:$Y$123,17,FALSE)</f>
        <v>3138</v>
      </c>
      <c r="I100" s="172">
        <f>VLOOKUP(A100,Iedz_sk!$B$5:$Y$123,24,FALSE)</f>
        <v>2777</v>
      </c>
      <c r="J100" s="133">
        <f>VLOOKUP($A100,IKP!$Q$6:$AC$124,11,FALSE)</f>
        <v>27659.346453713428</v>
      </c>
      <c r="K100" s="133">
        <f>VLOOKUP($A100,IKP!$Q$6:$AC$124,12,FALSE)</f>
        <v>29076.534845261645</v>
      </c>
      <c r="L100" s="133">
        <f>VLOOKUP($A100,IKP!$Q$6:$AC$124,13,FALSE)</f>
        <v>30198.313958429102</v>
      </c>
      <c r="M100" s="172">
        <f>VLOOKUP($A100,IKP!$Q$6:$AD$124,14,FALSE)</f>
        <v>36652.997642016191</v>
      </c>
      <c r="N100" s="132">
        <f>((-0.0000000006)*IKP!$J$5 + 0.0461)*J100</f>
        <v>759.38641633062616</v>
      </c>
      <c r="O100" s="132">
        <f>((-0.0000000006)*IKP!$K$5 + 0.0461)*K100</f>
        <v>770.64649340128028</v>
      </c>
      <c r="P100" s="132">
        <f>((-0.0000000006)*IKP!$L$5 + 0.0461)*L100</f>
        <v>777.89117009860479</v>
      </c>
      <c r="Q100" s="172">
        <f>((-0.0000000006)*IKP!$M$5 + 0.0461)*M100</f>
        <v>787.59605469615337</v>
      </c>
      <c r="R100" s="132">
        <f t="shared" si="8"/>
        <v>182.25273991935026</v>
      </c>
      <c r="S100" s="132">
        <f t="shared" si="9"/>
        <v>184.95515841630726</v>
      </c>
      <c r="T100" s="132">
        <f t="shared" si="10"/>
        <v>186.69388082366518</v>
      </c>
      <c r="U100" s="172">
        <f t="shared" si="11"/>
        <v>189.02305312707679</v>
      </c>
      <c r="V100" s="175"/>
      <c r="W100" s="175"/>
    </row>
    <row r="101" spans="1:23" hidden="1" outlineLevel="1" x14ac:dyDescent="0.3">
      <c r="A101" s="98" t="s">
        <v>96</v>
      </c>
      <c r="B101" s="176" t="s">
        <v>96</v>
      </c>
      <c r="C101" s="176" t="s">
        <v>96</v>
      </c>
      <c r="D101" s="176" t="s">
        <v>438</v>
      </c>
      <c r="E101" s="180">
        <v>123</v>
      </c>
      <c r="F101" s="132">
        <f>VLOOKUP(A101,Iedz_sk!$B$5:$Y$123,15,FALSE)</f>
        <v>22868</v>
      </c>
      <c r="G101" s="132">
        <f>VLOOKUP(A101,Iedz_sk!$B$5:$Y$123,16,FALSE)</f>
        <v>23017</v>
      </c>
      <c r="H101" s="132">
        <f>VLOOKUP(A101,Iedz_sk!$B$5:$Y$123,17,FALSE)</f>
        <v>23165</v>
      </c>
      <c r="I101" s="172">
        <f>VLOOKUP(A101,Iedz_sk!$B$5:$Y$123,24,FALSE)</f>
        <v>24205</v>
      </c>
      <c r="J101" s="133">
        <f>VLOOKUP($A101,IKP!$Q$6:$AC$124,11,FALSE)</f>
        <v>296669.30439393915</v>
      </c>
      <c r="K101" s="133">
        <f>VLOOKUP($A101,IKP!$Q$6:$AC$124,12,FALSE)</f>
        <v>314802.0425417021</v>
      </c>
      <c r="L101" s="133">
        <f>VLOOKUP($A101,IKP!$Q$6:$AC$124,13,FALSE)</f>
        <v>329886.32866635913</v>
      </c>
      <c r="M101" s="172">
        <f>VLOOKUP($A101,IKP!$Q$6:$AD$124,14,FALSE)</f>
        <v>426361.75941528846</v>
      </c>
      <c r="N101" s="132">
        <f>((-0.0000000006)*IKP!$J$5 + 0.0461)*J101</f>
        <v>8145.0456638959049</v>
      </c>
      <c r="O101" s="132">
        <f>((-0.0000000006)*IKP!$K$5 + 0.0461)*K101</f>
        <v>8343.535138949268</v>
      </c>
      <c r="P101" s="132">
        <f>((-0.0000000006)*IKP!$L$5 + 0.0461)*L101</f>
        <v>8497.6817765078958</v>
      </c>
      <c r="Q101" s="172">
        <f>((-0.0000000006)*IKP!$M$5 + 0.0461)*M101</f>
        <v>9161.6200908996143</v>
      </c>
      <c r="R101" s="132">
        <f t="shared" si="8"/>
        <v>1954.8109593350173</v>
      </c>
      <c r="S101" s="132">
        <f t="shared" si="9"/>
        <v>2002.4484333478244</v>
      </c>
      <c r="T101" s="132">
        <f t="shared" si="10"/>
        <v>2039.443626361895</v>
      </c>
      <c r="U101" s="172">
        <f t="shared" si="11"/>
        <v>2198.7888218159073</v>
      </c>
      <c r="V101" s="175"/>
      <c r="W101" s="175"/>
    </row>
    <row r="102" spans="1:23" hidden="1" outlineLevel="1" x14ac:dyDescent="0.3">
      <c r="A102" s="98" t="s">
        <v>97</v>
      </c>
      <c r="B102" s="176" t="s">
        <v>97</v>
      </c>
      <c r="C102" s="176" t="s">
        <v>97</v>
      </c>
      <c r="D102" s="176" t="s">
        <v>176</v>
      </c>
      <c r="E102" s="180">
        <v>1682</v>
      </c>
      <c r="F102" s="132">
        <f>VLOOKUP(A102,Iedz_sk!$B$5:$Y$123,15,FALSE)</f>
        <v>21438</v>
      </c>
      <c r="G102" s="132">
        <f>VLOOKUP(A102,Iedz_sk!$B$5:$Y$123,16,FALSE)</f>
        <v>20996</v>
      </c>
      <c r="H102" s="132">
        <f>VLOOKUP(A102,Iedz_sk!$B$5:$Y$123,17,FALSE)</f>
        <v>20554</v>
      </c>
      <c r="I102" s="172">
        <f>VLOOKUP(A102,Iedz_sk!$B$5:$Y$123,24,FALSE)</f>
        <v>17459</v>
      </c>
      <c r="J102" s="133">
        <f>VLOOKUP($A102,IKP!$Q$6:$AC$124,11,FALSE)</f>
        <v>205401.02454108986</v>
      </c>
      <c r="K102" s="133">
        <f>VLOOKUP($A102,IKP!$Q$6:$AC$124,12,FALSE)</f>
        <v>215264.6689305875</v>
      </c>
      <c r="L102" s="133">
        <f>VLOOKUP($A102,IKP!$Q$6:$AC$124,13,FALSE)</f>
        <v>222784.46540215815</v>
      </c>
      <c r="M102" s="172">
        <f>VLOOKUP($A102,IKP!$Q$6:$AD$124,14,FALSE)</f>
        <v>263051.30402429949</v>
      </c>
      <c r="N102" s="132">
        <f>((-0.0000000006)*IKP!$J$5 + 0.0461)*J102</f>
        <v>5639.2781441137831</v>
      </c>
      <c r="O102" s="132">
        <f>((-0.0000000006)*IKP!$K$5 + 0.0461)*K102</f>
        <v>5705.3896947276353</v>
      </c>
      <c r="P102" s="132">
        <f>((-0.0000000006)*IKP!$L$5 + 0.0461)*L102</f>
        <v>5738.7994809923484</v>
      </c>
      <c r="Q102" s="172">
        <f>((-0.0000000006)*IKP!$M$5 + 0.0461)*M102</f>
        <v>5652.4208812521101</v>
      </c>
      <c r="R102" s="132">
        <f t="shared" si="8"/>
        <v>1353.4267545873079</v>
      </c>
      <c r="S102" s="132">
        <f t="shared" si="9"/>
        <v>1369.2935267346327</v>
      </c>
      <c r="T102" s="132">
        <f t="shared" si="10"/>
        <v>1377.3118754381637</v>
      </c>
      <c r="U102" s="172">
        <f t="shared" si="11"/>
        <v>1356.5810115005063</v>
      </c>
      <c r="V102" s="175"/>
      <c r="W102" s="175"/>
    </row>
    <row r="103" spans="1:23" hidden="1" outlineLevel="1" x14ac:dyDescent="0.3">
      <c r="A103" s="98" t="s">
        <v>98</v>
      </c>
      <c r="B103" s="176" t="s">
        <v>98</v>
      </c>
      <c r="C103" s="176" t="s">
        <v>98</v>
      </c>
      <c r="D103" s="176" t="s">
        <v>439</v>
      </c>
      <c r="E103" s="180">
        <v>48</v>
      </c>
      <c r="F103" s="132">
        <f>VLOOKUP(A103,Iedz_sk!$B$5:$Y$123,15,FALSE)</f>
        <v>7079</v>
      </c>
      <c r="G103" s="132">
        <f>VLOOKUP(A103,Iedz_sk!$B$5:$Y$123,16,FALSE)</f>
        <v>6951</v>
      </c>
      <c r="H103" s="132">
        <f>VLOOKUP(A103,Iedz_sk!$B$5:$Y$123,17,FALSE)</f>
        <v>6823</v>
      </c>
      <c r="I103" s="172">
        <f>VLOOKUP(A103,Iedz_sk!$B$5:$Y$123,24,FALSE)</f>
        <v>5926</v>
      </c>
      <c r="J103" s="133">
        <f>VLOOKUP($A103,IKP!$Q$6:$AC$124,11,FALSE)</f>
        <v>91836.715314181172</v>
      </c>
      <c r="K103" s="133">
        <f>VLOOKUP($A103,IKP!$Q$6:$AC$124,12,FALSE)</f>
        <v>95068.384138131427</v>
      </c>
      <c r="L103" s="133">
        <f>VLOOKUP($A103,IKP!$Q$6:$AC$124,13,FALSE)</f>
        <v>97164.447247596312</v>
      </c>
      <c r="M103" s="172">
        <f>VLOOKUP($A103,IKP!$Q$6:$AD$124,14,FALSE)</f>
        <v>104384.20930778763</v>
      </c>
      <c r="N103" s="132">
        <f>((-0.0000000006)*IKP!$J$5 + 0.0461)*J103</f>
        <v>2521.3738960433402</v>
      </c>
      <c r="O103" s="132">
        <f>((-0.0000000006)*IKP!$K$5 + 0.0461)*K103</f>
        <v>2519.6990377041475</v>
      </c>
      <c r="P103" s="132">
        <f>((-0.0000000006)*IKP!$L$5 + 0.0461)*L103</f>
        <v>2502.9001839461853</v>
      </c>
      <c r="Q103" s="172">
        <f>((-0.0000000006)*IKP!$M$5 + 0.0461)*M103</f>
        <v>2242.9977549543946</v>
      </c>
      <c r="R103" s="132">
        <f t="shared" ref="R103:R124" si="12">N103*$X$6*$X$5</f>
        <v>605.12973505040168</v>
      </c>
      <c r="S103" s="132">
        <f t="shared" ref="S103:S124" si="13">O103*$X$6*$X$5</f>
        <v>604.72776904899536</v>
      </c>
      <c r="T103" s="132">
        <f t="shared" ref="T103:T124" si="14">P103*$X$6*$X$5</f>
        <v>600.69604414708442</v>
      </c>
      <c r="U103" s="172">
        <f t="shared" si="11"/>
        <v>538.31946118905466</v>
      </c>
      <c r="V103" s="175"/>
      <c r="W103" s="175"/>
    </row>
    <row r="104" spans="1:23" hidden="1" outlineLevel="1" x14ac:dyDescent="0.3">
      <c r="A104" s="98" t="s">
        <v>99</v>
      </c>
      <c r="B104" s="176" t="s">
        <v>98</v>
      </c>
      <c r="C104" s="176" t="s">
        <v>98</v>
      </c>
      <c r="D104" s="176" t="s">
        <v>439</v>
      </c>
      <c r="E104" s="180">
        <v>230</v>
      </c>
      <c r="F104" s="132">
        <f>VLOOKUP(A104,Iedz_sk!$B$5:$Y$123,15,FALSE)</f>
        <v>2151</v>
      </c>
      <c r="G104" s="132">
        <f>VLOOKUP(A104,Iedz_sk!$B$5:$Y$123,16,FALSE)</f>
        <v>2135</v>
      </c>
      <c r="H104" s="132">
        <f>VLOOKUP(A104,Iedz_sk!$B$5:$Y$123,17,FALSE)</f>
        <v>2120</v>
      </c>
      <c r="I104" s="172">
        <f>VLOOKUP(A104,Iedz_sk!$B$5:$Y$123,24,FALSE)</f>
        <v>2011</v>
      </c>
      <c r="J104" s="133">
        <f>VLOOKUP($A104,IKP!$Q$6:$AC$124,11,FALSE)</f>
        <v>27905.1807657584</v>
      </c>
      <c r="K104" s="133">
        <f>VLOOKUP($A104,IKP!$Q$6:$AC$124,12,FALSE)</f>
        <v>29200.25897495477</v>
      </c>
      <c r="L104" s="133">
        <f>VLOOKUP($A104,IKP!$Q$6:$AC$124,13,FALSE)</f>
        <v>30190.330963638309</v>
      </c>
      <c r="M104" s="172">
        <f>VLOOKUP($A104,IKP!$Q$6:$AD$124,14,FALSE)</f>
        <v>35422.991042517875</v>
      </c>
      <c r="N104" s="132">
        <f>((-0.0000000006)*IKP!$J$5 + 0.0461)*J104</f>
        <v>766.13578900822506</v>
      </c>
      <c r="O104" s="132">
        <f>((-0.0000000006)*IKP!$K$5 + 0.0461)*K104</f>
        <v>773.92568630389223</v>
      </c>
      <c r="P104" s="132">
        <f>((-0.0000000006)*IKP!$L$5 + 0.0461)*L104</f>
        <v>777.68553275185582</v>
      </c>
      <c r="Q104" s="172">
        <f>((-0.0000000006)*IKP!$M$5 + 0.0461)*M104</f>
        <v>761.16579230733839</v>
      </c>
      <c r="R104" s="132">
        <f t="shared" si="12"/>
        <v>183.87258936197401</v>
      </c>
      <c r="S104" s="132">
        <f t="shared" si="13"/>
        <v>185.74216471293417</v>
      </c>
      <c r="T104" s="132">
        <f t="shared" si="14"/>
        <v>186.64452786044538</v>
      </c>
      <c r="U104" s="172">
        <f t="shared" si="11"/>
        <v>182.67979015376122</v>
      </c>
      <c r="V104" s="175"/>
      <c r="W104" s="175"/>
    </row>
    <row r="105" spans="1:23" hidden="1" outlineLevel="1" x14ac:dyDescent="0.3">
      <c r="A105" s="98" t="s">
        <v>100</v>
      </c>
      <c r="B105" s="176" t="s">
        <v>100</v>
      </c>
      <c r="C105" s="176" t="s">
        <v>100</v>
      </c>
      <c r="D105" s="176" t="s">
        <v>438</v>
      </c>
      <c r="E105" s="180">
        <v>361</v>
      </c>
      <c r="F105" s="132">
        <f>VLOOKUP(A105,Iedz_sk!$B$5:$Y$123,15,FALSE)</f>
        <v>18081</v>
      </c>
      <c r="G105" s="132">
        <f>VLOOKUP(A105,Iedz_sk!$B$5:$Y$123,16,FALSE)</f>
        <v>18101</v>
      </c>
      <c r="H105" s="132">
        <f>VLOOKUP(A105,Iedz_sk!$B$5:$Y$123,17,FALSE)</f>
        <v>18121</v>
      </c>
      <c r="I105" s="172">
        <f>VLOOKUP(A105,Iedz_sk!$B$5:$Y$123,24,FALSE)</f>
        <v>18259</v>
      </c>
      <c r="J105" s="133">
        <f>VLOOKUP($A105,IKP!$Q$6:$AC$124,11,FALSE)</f>
        <v>234566.97974229552</v>
      </c>
      <c r="K105" s="133">
        <f>VLOOKUP($A105,IKP!$Q$6:$AC$124,12,FALSE)</f>
        <v>247566.22374972192</v>
      </c>
      <c r="L105" s="133">
        <f>VLOOKUP($A105,IKP!$Q$6:$AC$124,13,FALSE)</f>
        <v>258056.12612834424</v>
      </c>
      <c r="M105" s="172">
        <f>VLOOKUP($A105,IKP!$Q$6:$AD$124,14,FALSE)</f>
        <v>321625.25780474086</v>
      </c>
      <c r="N105" s="132">
        <f>((-0.0000000006)*IKP!$J$5 + 0.0461)*J105</f>
        <v>6440.0284523745786</v>
      </c>
      <c r="O105" s="132">
        <f>((-0.0000000006)*IKP!$K$5 + 0.0461)*K105</f>
        <v>6561.5123408837253</v>
      </c>
      <c r="P105" s="132">
        <f>((-0.0000000006)*IKP!$L$5 + 0.0461)*L105</f>
        <v>6647.3771410360287</v>
      </c>
      <c r="Q105" s="172">
        <f>((-0.0000000006)*IKP!$M$5 + 0.0461)*M105</f>
        <v>6911.0523131475347</v>
      </c>
      <c r="R105" s="132">
        <f t="shared" si="12"/>
        <v>1545.6068285698989</v>
      </c>
      <c r="S105" s="132">
        <f t="shared" si="13"/>
        <v>1574.7629618120941</v>
      </c>
      <c r="T105" s="132">
        <f t="shared" si="14"/>
        <v>1595.3705138486469</v>
      </c>
      <c r="U105" s="172">
        <f t="shared" si="11"/>
        <v>1658.6525551554084</v>
      </c>
      <c r="V105" s="175"/>
      <c r="W105" s="175"/>
    </row>
    <row r="106" spans="1:23" hidden="1" outlineLevel="1" x14ac:dyDescent="0.3">
      <c r="A106" s="98" t="s">
        <v>101</v>
      </c>
      <c r="B106" s="176" t="s">
        <v>11</v>
      </c>
      <c r="C106" s="176" t="s">
        <v>11</v>
      </c>
      <c r="D106" s="176" t="s">
        <v>438</v>
      </c>
      <c r="E106" s="180">
        <v>105</v>
      </c>
      <c r="F106" s="132">
        <f>VLOOKUP(A106,Iedz_sk!$B$5:$Y$123,15,FALSE)</f>
        <v>3417</v>
      </c>
      <c r="G106" s="132">
        <f>VLOOKUP(A106,Iedz_sk!$B$5:$Y$123,16,FALSE)</f>
        <v>3351</v>
      </c>
      <c r="H106" s="132">
        <f>VLOOKUP(A106,Iedz_sk!$B$5:$Y$123,17,FALSE)</f>
        <v>3285</v>
      </c>
      <c r="I106" s="172">
        <f>VLOOKUP(A106,Iedz_sk!$B$5:$Y$123,24,FALSE)</f>
        <v>2822</v>
      </c>
      <c r="J106" s="133">
        <f>VLOOKUP($A106,IKP!$Q$6:$AC$124,11,FALSE)</f>
        <v>29161.365884708048</v>
      </c>
      <c r="K106" s="133">
        <f>VLOOKUP($A106,IKP!$Q$6:$AC$124,12,FALSE)</f>
        <v>30553.611874089613</v>
      </c>
      <c r="L106" s="133">
        <f>VLOOKUP($A106,IKP!$Q$6:$AC$124,13,FALSE)</f>
        <v>31612.957728948244</v>
      </c>
      <c r="M106" s="172">
        <f>VLOOKUP($A106,IKP!$Q$6:$AD$124,14,FALSE)</f>
        <v>37246.942508379434</v>
      </c>
      <c r="N106" s="132">
        <f>((-0.0000000006)*IKP!$J$5 + 0.0461)*J106</f>
        <v>800.6243087324126</v>
      </c>
      <c r="O106" s="132">
        <f>((-0.0000000006)*IKP!$K$5 + 0.0461)*K106</f>
        <v>809.79504527679217</v>
      </c>
      <c r="P106" s="132">
        <f>((-0.0000000006)*IKP!$L$5 + 0.0461)*L106</f>
        <v>814.33157864050872</v>
      </c>
      <c r="Q106" s="172">
        <f>((-0.0000000006)*IKP!$M$5 + 0.0461)*M106</f>
        <v>800.35868431852532</v>
      </c>
      <c r="R106" s="132">
        <f t="shared" si="12"/>
        <v>192.14983409577903</v>
      </c>
      <c r="S106" s="132">
        <f t="shared" si="13"/>
        <v>194.35081086643012</v>
      </c>
      <c r="T106" s="132">
        <f t="shared" si="14"/>
        <v>195.43957887372213</v>
      </c>
      <c r="U106" s="172">
        <f t="shared" si="11"/>
        <v>192.08608423644608</v>
      </c>
      <c r="V106" s="175"/>
      <c r="W106" s="175"/>
    </row>
    <row r="107" spans="1:23" hidden="1" outlineLevel="1" x14ac:dyDescent="0.3">
      <c r="A107" s="98" t="s">
        <v>102</v>
      </c>
      <c r="B107" s="176" t="s">
        <v>59</v>
      </c>
      <c r="C107" s="176" t="s">
        <v>59</v>
      </c>
      <c r="D107" s="176" t="s">
        <v>440</v>
      </c>
      <c r="E107" s="180">
        <v>557</v>
      </c>
      <c r="F107" s="132">
        <f>VLOOKUP(A107,Iedz_sk!$B$5:$Y$123,15,FALSE)</f>
        <v>4526</v>
      </c>
      <c r="G107" s="132">
        <f>VLOOKUP(A107,Iedz_sk!$B$5:$Y$123,16,FALSE)</f>
        <v>4445</v>
      </c>
      <c r="H107" s="132">
        <f>VLOOKUP(A107,Iedz_sk!$B$5:$Y$123,17,FALSE)</f>
        <v>4365</v>
      </c>
      <c r="I107" s="172">
        <f>VLOOKUP(A107,Iedz_sk!$B$5:$Y$123,24,FALSE)</f>
        <v>3800</v>
      </c>
      <c r="J107" s="133">
        <f>VLOOKUP($A107,IKP!$Q$6:$AC$124,11,FALSE)</f>
        <v>43364.354747316575</v>
      </c>
      <c r="K107" s="133">
        <f>VLOOKUP($A107,IKP!$Q$6:$AC$124,12,FALSE)</f>
        <v>45573.035501831844</v>
      </c>
      <c r="L107" s="133">
        <f>VLOOKUP($A107,IKP!$Q$6:$AC$124,13,FALSE)</f>
        <v>47312.162668114252</v>
      </c>
      <c r="M107" s="172">
        <f>VLOOKUP($A107,IKP!$Q$6:$AD$124,14,FALSE)</f>
        <v>57253.849320828114</v>
      </c>
      <c r="N107" s="132">
        <f>((-0.0000000006)*IKP!$J$5 + 0.0461)*J107</f>
        <v>1190.5668849826936</v>
      </c>
      <c r="O107" s="132">
        <f>((-0.0000000006)*IKP!$K$5 + 0.0461)*K107</f>
        <v>1207.8708893629423</v>
      </c>
      <c r="P107" s="132">
        <f>((-0.0000000006)*IKP!$L$5 + 0.0461)*L107</f>
        <v>1218.7340534461225</v>
      </c>
      <c r="Q107" s="172">
        <f>((-0.0000000006)*IKP!$M$5 + 0.0461)*M107</f>
        <v>1230.2651554360511</v>
      </c>
      <c r="R107" s="132">
        <f t="shared" si="12"/>
        <v>285.73605239584646</v>
      </c>
      <c r="S107" s="132">
        <f t="shared" si="13"/>
        <v>289.88901344710615</v>
      </c>
      <c r="T107" s="132">
        <f t="shared" si="14"/>
        <v>292.49617282706942</v>
      </c>
      <c r="U107" s="172">
        <f t="shared" si="11"/>
        <v>295.26363730465226</v>
      </c>
      <c r="V107" s="175"/>
      <c r="W107" s="175"/>
    </row>
    <row r="108" spans="1:23" hidden="1" outlineLevel="1" x14ac:dyDescent="0.3">
      <c r="A108" s="98" t="s">
        <v>103</v>
      </c>
      <c r="B108" s="176" t="s">
        <v>103</v>
      </c>
      <c r="C108" s="176" t="s">
        <v>103</v>
      </c>
      <c r="D108" s="176" t="s">
        <v>439</v>
      </c>
      <c r="E108" s="180">
        <v>947</v>
      </c>
      <c r="F108" s="132">
        <f>VLOOKUP(A108,Iedz_sk!$B$5:$Y$123,15,FALSE)</f>
        <v>11945</v>
      </c>
      <c r="G108" s="132">
        <f>VLOOKUP(A108,Iedz_sk!$B$5:$Y$123,16,FALSE)</f>
        <v>11724</v>
      </c>
      <c r="H108" s="132">
        <f>VLOOKUP(A108,Iedz_sk!$B$5:$Y$123,17,FALSE)</f>
        <v>11503</v>
      </c>
      <c r="I108" s="172">
        <f>VLOOKUP(A108,Iedz_sk!$B$5:$Y$123,24,FALSE)</f>
        <v>9956</v>
      </c>
      <c r="J108" s="133">
        <f>VLOOKUP($A108,IKP!$Q$6:$AC$124,11,FALSE)</f>
        <v>112800.07406026185</v>
      </c>
      <c r="K108" s="133">
        <f>VLOOKUP($A108,IKP!$Q$6:$AC$124,12,FALSE)</f>
        <v>119118.6252588038</v>
      </c>
      <c r="L108" s="133">
        <f>VLOOKUP($A108,IKP!$Q$6:$AC$124,13,FALSE)</f>
        <v>124259.28080294872</v>
      </c>
      <c r="M108" s="172">
        <f>VLOOKUP($A108,IKP!$Q$6:$AD$124,14,FALSE)</f>
        <v>156773.77881359757</v>
      </c>
      <c r="N108" s="132">
        <f>((-0.0000000006)*IKP!$J$5 + 0.0461)*J108</f>
        <v>3096.9221975579708</v>
      </c>
      <c r="O108" s="132">
        <f>((-0.0000000006)*IKP!$K$5 + 0.0461)*K108</f>
        <v>3157.1282941040658</v>
      </c>
      <c r="P108" s="132">
        <f>((-0.0000000006)*IKP!$L$5 + 0.0461)*L108</f>
        <v>3200.8474867993946</v>
      </c>
      <c r="Q108" s="172">
        <f>((-0.0000000006)*IKP!$M$5 + 0.0461)*M108</f>
        <v>3368.7397379977247</v>
      </c>
      <c r="R108" s="132">
        <f t="shared" si="12"/>
        <v>743.26132741391302</v>
      </c>
      <c r="S108" s="132">
        <f t="shared" si="13"/>
        <v>757.71079058497583</v>
      </c>
      <c r="T108" s="132">
        <f t="shared" si="14"/>
        <v>768.20339683185477</v>
      </c>
      <c r="U108" s="172">
        <f t="shared" si="11"/>
        <v>808.49753711945402</v>
      </c>
      <c r="V108" s="175"/>
      <c r="W108" s="175"/>
    </row>
    <row r="109" spans="1:23" hidden="1" outlineLevel="1" x14ac:dyDescent="0.3">
      <c r="A109" s="98" t="s">
        <v>104</v>
      </c>
      <c r="B109" s="176" t="s">
        <v>89</v>
      </c>
      <c r="C109" s="176" t="s">
        <v>89</v>
      </c>
      <c r="D109" s="176" t="s">
        <v>438</v>
      </c>
      <c r="E109" s="180">
        <v>53</v>
      </c>
      <c r="F109" s="132">
        <f>VLOOKUP(A109,Iedz_sk!$B$5:$Y$123,15,FALSE)</f>
        <v>12201</v>
      </c>
      <c r="G109" s="132">
        <f>VLOOKUP(A109,Iedz_sk!$B$5:$Y$123,16,FALSE)</f>
        <v>12096</v>
      </c>
      <c r="H109" s="132">
        <f>VLOOKUP(A109,Iedz_sk!$B$5:$Y$123,17,FALSE)</f>
        <v>11992</v>
      </c>
      <c r="I109" s="172">
        <f>VLOOKUP(A109,Iedz_sk!$B$5:$Y$123,24,FALSE)</f>
        <v>11259</v>
      </c>
      <c r="J109" s="133">
        <f>VLOOKUP($A109,IKP!$Q$6:$AC$124,11,FALSE)</f>
        <v>158285.03511065469</v>
      </c>
      <c r="K109" s="133">
        <f>VLOOKUP($A109,IKP!$Q$6:$AC$124,12,FALSE)</f>
        <v>165436.22134007161</v>
      </c>
      <c r="L109" s="133">
        <f>VLOOKUP($A109,IKP!$Q$6:$AC$124,13,FALSE)</f>
        <v>170774.74005469368</v>
      </c>
      <c r="M109" s="172">
        <f>VLOOKUP($A109,IKP!$Q$6:$AD$124,14,FALSE)</f>
        <v>198322.95183874128</v>
      </c>
      <c r="N109" s="132">
        <f>((-0.0000000006)*IKP!$J$5 + 0.0461)*J109</f>
        <v>4345.7102564804063</v>
      </c>
      <c r="O109" s="132">
        <f>((-0.0000000006)*IKP!$K$5 + 0.0461)*K109</f>
        <v>4384.7330686331989</v>
      </c>
      <c r="P109" s="132">
        <f>((-0.0000000006)*IKP!$L$5 + 0.0461)*L109</f>
        <v>4399.0589192265361</v>
      </c>
      <c r="Q109" s="172">
        <f>((-0.0000000006)*IKP!$M$5 + 0.0461)*M109</f>
        <v>4261.5443339573958</v>
      </c>
      <c r="R109" s="132">
        <f t="shared" si="12"/>
        <v>1042.9704615552976</v>
      </c>
      <c r="S109" s="132">
        <f t="shared" si="13"/>
        <v>1052.3359364719677</v>
      </c>
      <c r="T109" s="132">
        <f t="shared" si="14"/>
        <v>1055.7741406143687</v>
      </c>
      <c r="U109" s="172">
        <f t="shared" si="11"/>
        <v>1022.770640149775</v>
      </c>
      <c r="V109" s="175"/>
      <c r="W109" s="175"/>
    </row>
    <row r="110" spans="1:23" hidden="1" outlineLevel="1" x14ac:dyDescent="0.3">
      <c r="A110" s="98" t="s">
        <v>105</v>
      </c>
      <c r="B110" s="176" t="s">
        <v>442</v>
      </c>
      <c r="C110" s="176" t="s">
        <v>442</v>
      </c>
      <c r="D110" s="176" t="s">
        <v>439</v>
      </c>
      <c r="E110" s="180">
        <v>375</v>
      </c>
      <c r="F110" s="132">
        <f>VLOOKUP(A110,Iedz_sk!$B$5:$Y$123,15,FALSE)</f>
        <v>2892</v>
      </c>
      <c r="G110" s="132">
        <f>VLOOKUP(A110,Iedz_sk!$B$5:$Y$123,16,FALSE)</f>
        <v>2758</v>
      </c>
      <c r="H110" s="132">
        <f>VLOOKUP(A110,Iedz_sk!$B$5:$Y$123,17,FALSE)</f>
        <v>2624</v>
      </c>
      <c r="I110" s="172">
        <f>VLOOKUP(A110,Iedz_sk!$B$5:$Y$123,24,FALSE)</f>
        <v>1684</v>
      </c>
      <c r="J110" s="133">
        <f>VLOOKUP($A110,IKP!$Q$6:$AC$124,11,FALSE)</f>
        <v>27309.988629742758</v>
      </c>
      <c r="K110" s="133">
        <f>VLOOKUP($A110,IKP!$Q$6:$AC$124,12,FALSE)</f>
        <v>28021.935215266196</v>
      </c>
      <c r="L110" s="133">
        <f>VLOOKUP($A110,IKP!$Q$6:$AC$124,13,FALSE)</f>
        <v>28345.331898368899</v>
      </c>
      <c r="M110" s="172">
        <f>VLOOKUP($A110,IKP!$Q$6:$AD$124,14,FALSE)</f>
        <v>26517.380827852379</v>
      </c>
      <c r="N110" s="132">
        <f>((-0.0000000006)*IKP!$J$5 + 0.0461)*J110</f>
        <v>749.79480915342413</v>
      </c>
      <c r="O110" s="132">
        <f>((-0.0000000006)*IKP!$K$5 + 0.0461)*K110</f>
        <v>742.69531176552482</v>
      </c>
      <c r="P110" s="132">
        <f>((-0.0000000006)*IKP!$L$5 + 0.0461)*L110</f>
        <v>730.15941974803195</v>
      </c>
      <c r="Q110" s="172">
        <f>((-0.0000000006)*IKP!$M$5 + 0.0461)*M110</f>
        <v>569.80290465931785</v>
      </c>
      <c r="R110" s="132">
        <f t="shared" si="12"/>
        <v>179.9507541968218</v>
      </c>
      <c r="S110" s="132">
        <f t="shared" si="13"/>
        <v>178.24687482372596</v>
      </c>
      <c r="T110" s="132">
        <f t="shared" si="14"/>
        <v>175.23826073952768</v>
      </c>
      <c r="U110" s="172">
        <f t="shared" si="11"/>
        <v>136.75269711823628</v>
      </c>
      <c r="V110" s="175"/>
      <c r="W110" s="175"/>
    </row>
    <row r="111" spans="1:23" hidden="1" outlineLevel="1" x14ac:dyDescent="0.3">
      <c r="A111" s="98" t="s">
        <v>106</v>
      </c>
      <c r="B111" s="176" t="s">
        <v>106</v>
      </c>
      <c r="C111" s="176" t="s">
        <v>106</v>
      </c>
      <c r="D111" s="176" t="s">
        <v>440</v>
      </c>
      <c r="E111" s="180">
        <v>1763</v>
      </c>
      <c r="F111" s="132">
        <f>VLOOKUP(A111,Iedz_sk!$B$5:$Y$123,15,FALSE)</f>
        <v>27391</v>
      </c>
      <c r="G111" s="132">
        <f>VLOOKUP(A111,Iedz_sk!$B$5:$Y$123,16,FALSE)</f>
        <v>26899</v>
      </c>
      <c r="H111" s="132">
        <f>VLOOKUP(A111,Iedz_sk!$B$5:$Y$123,17,FALSE)</f>
        <v>26407</v>
      </c>
      <c r="I111" s="172">
        <f>VLOOKUP(A111,Iedz_sk!$B$5:$Y$123,24,FALSE)</f>
        <v>22962</v>
      </c>
      <c r="J111" s="133">
        <f>VLOOKUP($A111,IKP!$Q$6:$AC$124,11,FALSE)</f>
        <v>262437.70236052771</v>
      </c>
      <c r="K111" s="133">
        <f>VLOOKUP($A111,IKP!$Q$6:$AC$124,12,FALSE)</f>
        <v>275786.07018307643</v>
      </c>
      <c r="L111" s="133">
        <f>VLOOKUP($A111,IKP!$Q$6:$AC$124,13,FALSE)</f>
        <v>286225.03541280481</v>
      </c>
      <c r="M111" s="172">
        <f>VLOOKUP($A111,IKP!$Q$6:$AD$124,14,FALSE)</f>
        <v>345963.91792233026</v>
      </c>
      <c r="N111" s="132">
        <f>((-0.0000000006)*IKP!$J$5 + 0.0461)*J111</f>
        <v>7205.2181941142208</v>
      </c>
      <c r="O111" s="132">
        <f>((-0.0000000006)*IKP!$K$5 + 0.0461)*K111</f>
        <v>7309.4531052809416</v>
      </c>
      <c r="P111" s="132">
        <f>((-0.0000000006)*IKP!$L$5 + 0.0461)*L111</f>
        <v>7372.9920158881459</v>
      </c>
      <c r="Q111" s="172">
        <f>((-0.0000000006)*IKP!$M$5 + 0.0461)*M111</f>
        <v>7434.0390787164743</v>
      </c>
      <c r="R111" s="132">
        <f t="shared" si="12"/>
        <v>1729.252366587413</v>
      </c>
      <c r="S111" s="132">
        <f t="shared" si="13"/>
        <v>1754.2687452674261</v>
      </c>
      <c r="T111" s="132">
        <f t="shared" si="14"/>
        <v>1769.518083813155</v>
      </c>
      <c r="U111" s="172">
        <f t="shared" si="11"/>
        <v>1784.1693788919538</v>
      </c>
      <c r="V111" s="175"/>
      <c r="W111" s="175"/>
    </row>
    <row r="112" spans="1:23" hidden="1" outlineLevel="1" x14ac:dyDescent="0.3">
      <c r="A112" s="98" t="s">
        <v>107</v>
      </c>
      <c r="B112" s="176" t="s">
        <v>35</v>
      </c>
      <c r="C112" s="176" t="s">
        <v>35</v>
      </c>
      <c r="D112" s="176" t="s">
        <v>438</v>
      </c>
      <c r="E112" s="180">
        <v>224</v>
      </c>
      <c r="F112" s="132">
        <f>VLOOKUP(A112,Iedz_sk!$B$5:$Y$123,15,FALSE)</f>
        <v>3273</v>
      </c>
      <c r="G112" s="132">
        <f>VLOOKUP(A112,Iedz_sk!$B$5:$Y$123,16,FALSE)</f>
        <v>3233</v>
      </c>
      <c r="H112" s="132">
        <f>VLOOKUP(A112,Iedz_sk!$B$5:$Y$123,17,FALSE)</f>
        <v>3192</v>
      </c>
      <c r="I112" s="172">
        <f>VLOOKUP(A112,Iedz_sk!$B$5:$Y$123,24,FALSE)</f>
        <v>2910</v>
      </c>
      <c r="J112" s="133">
        <f>VLOOKUP($A112,IKP!$Q$6:$AC$124,11,FALSE)</f>
        <v>27932.440895712447</v>
      </c>
      <c r="K112" s="133">
        <f>VLOOKUP($A112,IKP!$Q$6:$AC$124,12,FALSE)</f>
        <v>29477.71626049887</v>
      </c>
      <c r="L112" s="133">
        <f>VLOOKUP($A112,IKP!$Q$6:$AC$124,13,FALSE)</f>
        <v>30717.979016987152</v>
      </c>
      <c r="M112" s="172">
        <f>VLOOKUP($A112,IKP!$Q$6:$AD$124,14,FALSE)</f>
        <v>38408.434691489783</v>
      </c>
      <c r="N112" s="132">
        <f>((-0.0000000006)*IKP!$J$5 + 0.0461)*J112</f>
        <v>766.88421494913268</v>
      </c>
      <c r="O112" s="132">
        <f>((-0.0000000006)*IKP!$K$5 + 0.0461)*K112</f>
        <v>781.27943341685136</v>
      </c>
      <c r="P112" s="132">
        <f>((-0.0000000006)*IKP!$L$5 + 0.0461)*L112</f>
        <v>791.27744262420208</v>
      </c>
      <c r="Q112" s="172">
        <f>((-0.0000000006)*IKP!$M$5 + 0.0461)*M112</f>
        <v>825.3167155800528</v>
      </c>
      <c r="R112" s="132">
        <f t="shared" si="12"/>
        <v>184.05221158779185</v>
      </c>
      <c r="S112" s="132">
        <f t="shared" si="13"/>
        <v>187.50706402004434</v>
      </c>
      <c r="T112" s="132">
        <f t="shared" si="14"/>
        <v>189.90658622980848</v>
      </c>
      <c r="U112" s="172">
        <f t="shared" si="11"/>
        <v>198.07601173921267</v>
      </c>
      <c r="V112" s="175"/>
      <c r="W112" s="175"/>
    </row>
    <row r="113" spans="1:23" hidden="1" outlineLevel="1" x14ac:dyDescent="0.3">
      <c r="A113" s="98" t="s">
        <v>108</v>
      </c>
      <c r="B113" s="176" t="s">
        <v>108</v>
      </c>
      <c r="C113" s="176" t="s">
        <v>108</v>
      </c>
      <c r="D113" s="176" t="s">
        <v>440</v>
      </c>
      <c r="E113" s="180">
        <v>1194</v>
      </c>
      <c r="F113" s="132">
        <f>VLOOKUP(A113,Iedz_sk!$B$5:$Y$123,15,FALSE)</f>
        <v>27614</v>
      </c>
      <c r="G113" s="132">
        <f>VLOOKUP(A113,Iedz_sk!$B$5:$Y$123,16,FALSE)</f>
        <v>27160</v>
      </c>
      <c r="H113" s="132">
        <f>VLOOKUP(A113,Iedz_sk!$B$5:$Y$123,17,FALSE)</f>
        <v>26707</v>
      </c>
      <c r="I113" s="172">
        <f>VLOOKUP(A113,Iedz_sk!$B$5:$Y$123,24,FALSE)</f>
        <v>23531</v>
      </c>
      <c r="J113" s="133">
        <f>VLOOKUP($A113,IKP!$Q$6:$AC$124,11,FALSE)</f>
        <v>358239.73113233491</v>
      </c>
      <c r="K113" s="133">
        <f>VLOOKUP($A113,IKP!$Q$6:$AC$124,12,FALSE)</f>
        <v>371465.58958303119</v>
      </c>
      <c r="L113" s="133">
        <f>VLOOKUP($A113,IKP!$Q$6:$AC$124,13,FALSE)</f>
        <v>380326.96653107938</v>
      </c>
      <c r="M113" s="172">
        <f>VLOOKUP($A113,IKP!$Q$6:$AD$124,14,FALSE)</f>
        <v>414489.50881227653</v>
      </c>
      <c r="N113" s="132">
        <f>((-0.0000000006)*IKP!$J$5 + 0.0461)*J113</f>
        <v>9835.4596362961984</v>
      </c>
      <c r="O113" s="132">
        <f>((-0.0000000006)*IKP!$K$5 + 0.0461)*K113</f>
        <v>9845.3497142921369</v>
      </c>
      <c r="P113" s="132">
        <f>((-0.0000000006)*IKP!$L$5 + 0.0461)*L113</f>
        <v>9797.0035486810448</v>
      </c>
      <c r="Q113" s="172">
        <f>((-0.0000000006)*IKP!$M$5 + 0.0461)*M113</f>
        <v>8906.5103226175925</v>
      </c>
      <c r="R113" s="132">
        <f t="shared" si="12"/>
        <v>2360.5103127110879</v>
      </c>
      <c r="S113" s="132">
        <f t="shared" si="13"/>
        <v>2362.8839314301131</v>
      </c>
      <c r="T113" s="132">
        <f t="shared" si="14"/>
        <v>2351.2808516834507</v>
      </c>
      <c r="U113" s="172">
        <f t="shared" si="11"/>
        <v>2137.5624774282223</v>
      </c>
      <c r="V113" s="175"/>
      <c r="W113" s="175"/>
    </row>
    <row r="114" spans="1:23" hidden="1" outlineLevel="1" x14ac:dyDescent="0.3">
      <c r="A114" s="98" t="s">
        <v>109</v>
      </c>
      <c r="B114" s="176" t="s">
        <v>441</v>
      </c>
      <c r="C114" s="176" t="s">
        <v>441</v>
      </c>
      <c r="D114" s="176" t="s">
        <v>176</v>
      </c>
      <c r="E114" s="180">
        <v>307</v>
      </c>
      <c r="F114" s="132">
        <f>VLOOKUP(A114,Iedz_sk!$B$5:$Y$123,15,FALSE)</f>
        <v>2216</v>
      </c>
      <c r="G114" s="132">
        <f>VLOOKUP(A114,Iedz_sk!$B$5:$Y$123,16,FALSE)</f>
        <v>2181</v>
      </c>
      <c r="H114" s="132">
        <f>VLOOKUP(A114,Iedz_sk!$B$5:$Y$123,17,FALSE)</f>
        <v>2145</v>
      </c>
      <c r="I114" s="172">
        <f>VLOOKUP(A114,Iedz_sk!$B$5:$Y$123,24,FALSE)</f>
        <v>1897</v>
      </c>
      <c r="J114" s="133">
        <f>VLOOKUP($A114,IKP!$Q$6:$AC$124,11,FALSE)</f>
        <v>21231.862598332642</v>
      </c>
      <c r="K114" s="133">
        <f>VLOOKUP($A114,IKP!$Q$6:$AC$124,12,FALSE)</f>
        <v>22361.032717546739</v>
      </c>
      <c r="L114" s="133">
        <f>VLOOKUP($A114,IKP!$Q$6:$AC$124,13,FALSE)</f>
        <v>23249.619455465079</v>
      </c>
      <c r="M114" s="172">
        <f>VLOOKUP($A114,IKP!$Q$6:$AD$124,14,FALSE)</f>
        <v>28581.724253055509</v>
      </c>
      <c r="N114" s="132">
        <f>((-0.0000000006)*IKP!$J$5 + 0.0461)*J114</f>
        <v>582.9200656477351</v>
      </c>
      <c r="O114" s="132">
        <f>((-0.0000000006)*IKP!$K$5 + 0.0461)*K114</f>
        <v>592.65835988764388</v>
      </c>
      <c r="P114" s="132">
        <f>((-0.0000000006)*IKP!$L$5 + 0.0461)*L114</f>
        <v>598.89680289620458</v>
      </c>
      <c r="Q114" s="172">
        <f>((-0.0000000006)*IKP!$M$5 + 0.0461)*M114</f>
        <v>614.16131575320765</v>
      </c>
      <c r="R114" s="132">
        <f t="shared" si="12"/>
        <v>139.90081575545642</v>
      </c>
      <c r="S114" s="132">
        <f t="shared" si="13"/>
        <v>142.23800637303455</v>
      </c>
      <c r="T114" s="132">
        <f t="shared" si="14"/>
        <v>143.73523269508908</v>
      </c>
      <c r="U114" s="172">
        <f t="shared" si="11"/>
        <v>147.39871578076983</v>
      </c>
      <c r="V114" s="175"/>
      <c r="W114" s="175"/>
    </row>
    <row r="115" spans="1:23" hidden="1" outlineLevel="1" x14ac:dyDescent="0.3">
      <c r="A115" s="98" t="s">
        <v>110</v>
      </c>
      <c r="B115" s="176" t="s">
        <v>110</v>
      </c>
      <c r="C115" s="176" t="s">
        <v>110</v>
      </c>
      <c r="D115" s="176" t="s">
        <v>439</v>
      </c>
      <c r="E115" s="180">
        <v>908</v>
      </c>
      <c r="F115" s="132">
        <f>VLOOKUP(A115,Iedz_sk!$B$5:$Y$123,15,FALSE)</f>
        <v>7596</v>
      </c>
      <c r="G115" s="132">
        <f>VLOOKUP(A115,Iedz_sk!$B$5:$Y$123,16,FALSE)</f>
        <v>7345</v>
      </c>
      <c r="H115" s="132">
        <f>VLOOKUP(A115,Iedz_sk!$B$5:$Y$123,17,FALSE)</f>
        <v>7094</v>
      </c>
      <c r="I115" s="172">
        <f>VLOOKUP(A115,Iedz_sk!$B$5:$Y$123,24,FALSE)</f>
        <v>5339</v>
      </c>
      <c r="J115" s="133">
        <f>VLOOKUP($A115,IKP!$Q$6:$AC$124,11,FALSE)</f>
        <v>71731.214948660447</v>
      </c>
      <c r="K115" s="133">
        <f>VLOOKUP($A115,IKP!$Q$6:$AC$124,12,FALSE)</f>
        <v>74626.944944209652</v>
      </c>
      <c r="L115" s="133">
        <f>VLOOKUP($A115,IKP!$Q$6:$AC$124,13,FALSE)</f>
        <v>76631.777624629933</v>
      </c>
      <c r="M115" s="172">
        <f>VLOOKUP($A115,IKP!$Q$6:$AD$124,14,FALSE)</f>
        <v>84071.434821795643</v>
      </c>
      <c r="N115" s="132">
        <f>((-0.0000000006)*IKP!$J$5 + 0.0461)*J115</f>
        <v>1969.3780671955085</v>
      </c>
      <c r="O115" s="132">
        <f>((-0.0000000006)*IKP!$K$5 + 0.0461)*K115</f>
        <v>1977.9177175191371</v>
      </c>
      <c r="P115" s="132">
        <f>((-0.0000000006)*IKP!$L$5 + 0.0461)*L115</f>
        <v>1973.990443480388</v>
      </c>
      <c r="Q115" s="172">
        <f>((-0.0000000006)*IKP!$M$5 + 0.0461)*M115</f>
        <v>1806.5188289644288</v>
      </c>
      <c r="R115" s="132">
        <f t="shared" si="12"/>
        <v>472.65073612692203</v>
      </c>
      <c r="S115" s="132">
        <f t="shared" si="13"/>
        <v>474.70025220459291</v>
      </c>
      <c r="T115" s="132">
        <f t="shared" si="14"/>
        <v>473.75770643529313</v>
      </c>
      <c r="U115" s="172">
        <f t="shared" si="11"/>
        <v>433.5645189514629</v>
      </c>
      <c r="V115" s="175"/>
      <c r="W115" s="175"/>
    </row>
    <row r="116" spans="1:23" hidden="1" outlineLevel="1" x14ac:dyDescent="0.3">
      <c r="A116" s="98" t="s">
        <v>111</v>
      </c>
      <c r="B116" s="176" t="s">
        <v>111</v>
      </c>
      <c r="C116" s="176" t="s">
        <v>111</v>
      </c>
      <c r="D116" s="176" t="s">
        <v>437</v>
      </c>
      <c r="E116" s="180">
        <v>278</v>
      </c>
      <c r="F116" s="132">
        <f>VLOOKUP(A116,Iedz_sk!$B$5:$Y$123,15,FALSE)</f>
        <v>2945</v>
      </c>
      <c r="G116" s="132">
        <f>VLOOKUP(A116,Iedz_sk!$B$5:$Y$123,16,FALSE)</f>
        <v>2880</v>
      </c>
      <c r="H116" s="132">
        <f>VLOOKUP(A116,Iedz_sk!$B$5:$Y$123,17,FALSE)</f>
        <v>2815</v>
      </c>
      <c r="I116" s="172">
        <f>VLOOKUP(A116,Iedz_sk!$B$5:$Y$123,24,FALSE)</f>
        <v>2362</v>
      </c>
      <c r="J116" s="133">
        <f>VLOOKUP($A116,IKP!$Q$6:$AC$124,11,FALSE)</f>
        <v>27810.482888863218</v>
      </c>
      <c r="K116" s="133">
        <f>VLOOKUP($A116,IKP!$Q$6:$AC$124,12,FALSE)</f>
        <v>29261.48419868261</v>
      </c>
      <c r="L116" s="133">
        <f>VLOOKUP($A116,IKP!$Q$6:$AC$124,13,FALSE)</f>
        <v>30408.578237007794</v>
      </c>
      <c r="M116" s="172">
        <f>VLOOKUP($A116,IKP!$Q$6:$AD$124,14,FALSE)</f>
        <v>37193.618477070857</v>
      </c>
      <c r="N116" s="132">
        <f>((-0.0000000006)*IKP!$J$5 + 0.0461)*J116</f>
        <v>763.53586201826909</v>
      </c>
      <c r="O116" s="132">
        <f>((-0.0000000006)*IKP!$K$5 + 0.0461)*K116</f>
        <v>775.54840387407955</v>
      </c>
      <c r="P116" s="132">
        <f>((-0.0000000006)*IKP!$L$5 + 0.0461)*L116</f>
        <v>783.30745677999619</v>
      </c>
      <c r="Q116" s="172">
        <f>((-0.0000000006)*IKP!$M$5 + 0.0461)*M116</f>
        <v>799.21286271099098</v>
      </c>
      <c r="R116" s="132">
        <f t="shared" si="12"/>
        <v>183.2486068843846</v>
      </c>
      <c r="S116" s="132">
        <f t="shared" si="13"/>
        <v>186.13161692977911</v>
      </c>
      <c r="T116" s="132">
        <f t="shared" si="14"/>
        <v>187.99378962719911</v>
      </c>
      <c r="U116" s="172">
        <f t="shared" si="11"/>
        <v>191.81108705063784</v>
      </c>
      <c r="V116" s="175"/>
      <c r="W116" s="175"/>
    </row>
    <row r="117" spans="1:23" hidden="1" outlineLevel="1" x14ac:dyDescent="0.3">
      <c r="A117" s="98" t="s">
        <v>112</v>
      </c>
      <c r="B117" s="176" t="s">
        <v>82</v>
      </c>
      <c r="C117" s="176" t="s">
        <v>82</v>
      </c>
      <c r="D117" s="176" t="s">
        <v>437</v>
      </c>
      <c r="E117" s="180">
        <v>288</v>
      </c>
      <c r="F117" s="132">
        <f>VLOOKUP(A117,Iedz_sk!$B$5:$Y$123,15,FALSE)</f>
        <v>1754</v>
      </c>
      <c r="G117" s="132">
        <f>VLOOKUP(A117,Iedz_sk!$B$5:$Y$123,16,FALSE)</f>
        <v>1724</v>
      </c>
      <c r="H117" s="132">
        <f>VLOOKUP(A117,Iedz_sk!$B$5:$Y$123,17,FALSE)</f>
        <v>1695</v>
      </c>
      <c r="I117" s="172">
        <f>VLOOKUP(A117,Iedz_sk!$B$5:$Y$123,24,FALSE)</f>
        <v>1488</v>
      </c>
      <c r="J117" s="133">
        <f>VLOOKUP($A117,IKP!$Q$6:$AC$124,11,FALSE)</f>
        <v>11534.130738121357</v>
      </c>
      <c r="K117" s="133">
        <f>VLOOKUP($A117,IKP!$Q$6:$AC$124,12,FALSE)</f>
        <v>12194.845557130067</v>
      </c>
      <c r="L117" s="133">
        <f>VLOOKUP($A117,IKP!$Q$6:$AC$124,13,FALSE)</f>
        <v>12744.61508861933</v>
      </c>
      <c r="M117" s="172">
        <f>VLOOKUP($A117,IKP!$Q$6:$AD$124,14,FALSE)</f>
        <v>16278.388340789068</v>
      </c>
      <c r="N117" s="132">
        <f>((-0.0000000006)*IKP!$J$5 + 0.0461)*J117</f>
        <v>316.66916719700617</v>
      </c>
      <c r="O117" s="132">
        <f>((-0.0000000006)*IKP!$K$5 + 0.0461)*K117</f>
        <v>323.21303127026385</v>
      </c>
      <c r="P117" s="132">
        <f>((-0.0000000006)*IKP!$L$5 + 0.0461)*L117</f>
        <v>328.2939424164507</v>
      </c>
      <c r="Q117" s="172">
        <f>((-0.0000000006)*IKP!$M$5 + 0.0461)*M117</f>
        <v>349.78842819995043</v>
      </c>
      <c r="R117" s="132">
        <f t="shared" si="12"/>
        <v>76.000600127281487</v>
      </c>
      <c r="S117" s="132">
        <f t="shared" si="13"/>
        <v>77.571127504863327</v>
      </c>
      <c r="T117" s="132">
        <f t="shared" si="14"/>
        <v>78.790546179948166</v>
      </c>
      <c r="U117" s="172">
        <f t="shared" si="11"/>
        <v>83.949222767988104</v>
      </c>
      <c r="V117" s="175"/>
      <c r="W117" s="175"/>
    </row>
    <row r="118" spans="1:23" hidden="1" outlineLevel="1" x14ac:dyDescent="0.3">
      <c r="A118" s="98" t="s">
        <v>113</v>
      </c>
      <c r="B118" s="176" t="s">
        <v>31</v>
      </c>
      <c r="C118" s="176" t="s">
        <v>31</v>
      </c>
      <c r="D118" s="176" t="s">
        <v>439</v>
      </c>
      <c r="E118" s="180">
        <v>542</v>
      </c>
      <c r="F118" s="132">
        <f>VLOOKUP(A118,Iedz_sk!$B$5:$Y$123,15,FALSE)</f>
        <v>3614</v>
      </c>
      <c r="G118" s="132">
        <f>VLOOKUP(A118,Iedz_sk!$B$5:$Y$123,16,FALSE)</f>
        <v>3506</v>
      </c>
      <c r="H118" s="132">
        <f>VLOOKUP(A118,Iedz_sk!$B$5:$Y$123,17,FALSE)</f>
        <v>3398</v>
      </c>
      <c r="I118" s="172">
        <f>VLOOKUP(A118,Iedz_sk!$B$5:$Y$123,24,FALSE)</f>
        <v>2642</v>
      </c>
      <c r="J118" s="133">
        <f>VLOOKUP($A118,IKP!$Q$6:$AC$124,11,FALSE)</f>
        <v>34128.042499270516</v>
      </c>
      <c r="K118" s="133">
        <f>VLOOKUP($A118,IKP!$Q$6:$AC$124,12,FALSE)</f>
        <v>35621.792916868486</v>
      </c>
      <c r="L118" s="133">
        <f>VLOOKUP($A118,IKP!$Q$6:$AC$124,13,FALSE)</f>
        <v>36706.340621439602</v>
      </c>
      <c r="M118" s="172">
        <f>VLOOKUP($A118,IKP!$Q$6:$AD$124,14,FALSE)</f>
        <v>41602.684172913294</v>
      </c>
      <c r="N118" s="132">
        <f>((-0.0000000006)*IKP!$J$5 + 0.0461)*J118</f>
        <v>936.98424629338695</v>
      </c>
      <c r="O118" s="132">
        <f>((-0.0000000006)*IKP!$K$5 + 0.0461)*K118</f>
        <v>944.12246666059821</v>
      </c>
      <c r="P118" s="132">
        <f>((-0.0000000006)*IKP!$L$5 + 0.0461)*L118</f>
        <v>945.53418761578223</v>
      </c>
      <c r="Q118" s="172">
        <f>((-0.0000000006)*IKP!$M$5 + 0.0461)*M118</f>
        <v>893.9544383075521</v>
      </c>
      <c r="R118" s="132">
        <f t="shared" si="12"/>
        <v>224.87621911041288</v>
      </c>
      <c r="S118" s="132">
        <f t="shared" si="13"/>
        <v>226.58939199854359</v>
      </c>
      <c r="T118" s="132">
        <f t="shared" si="14"/>
        <v>226.92820502778775</v>
      </c>
      <c r="U118" s="172">
        <f t="shared" si="11"/>
        <v>214.54906519381251</v>
      </c>
      <c r="V118" s="175"/>
      <c r="W118" s="175"/>
    </row>
    <row r="119" spans="1:23" hidden="1" outlineLevel="1" x14ac:dyDescent="0.3">
      <c r="A119" s="98" t="s">
        <v>114</v>
      </c>
      <c r="B119" s="176" t="s">
        <v>25</v>
      </c>
      <c r="C119" s="176" t="s">
        <v>25</v>
      </c>
      <c r="D119" s="176" t="s">
        <v>438</v>
      </c>
      <c r="E119" s="180">
        <v>844</v>
      </c>
      <c r="F119" s="132">
        <f>VLOOKUP(A119,Iedz_sk!$B$5:$Y$123,15,FALSE)</f>
        <v>7795</v>
      </c>
      <c r="G119" s="132">
        <f>VLOOKUP(A119,Iedz_sk!$B$5:$Y$123,16,FALSE)</f>
        <v>7650</v>
      </c>
      <c r="H119" s="132">
        <f>VLOOKUP(A119,Iedz_sk!$B$5:$Y$123,17,FALSE)</f>
        <v>7505</v>
      </c>
      <c r="I119" s="172">
        <f>VLOOKUP(A119,Iedz_sk!$B$5:$Y$123,24,FALSE)</f>
        <v>6488</v>
      </c>
      <c r="J119" s="133">
        <f>VLOOKUP($A119,IKP!$Q$6:$AC$124,11,FALSE)</f>
        <v>66524.099230699212</v>
      </c>
      <c r="K119" s="133">
        <f>VLOOKUP($A119,IKP!$Q$6:$AC$124,12,FALSE)</f>
        <v>69750.859694653991</v>
      </c>
      <c r="L119" s="133">
        <f>VLOOKUP($A119,IKP!$Q$6:$AC$124,13,FALSE)</f>
        <v>72223.819712559081</v>
      </c>
      <c r="M119" s="172">
        <f>VLOOKUP($A119,IKP!$Q$6:$AD$124,14,FALSE)</f>
        <v>85633.650954771714</v>
      </c>
      <c r="N119" s="132">
        <f>((-0.0000000006)*IKP!$J$5 + 0.0461)*J119</f>
        <v>1826.4168822268527</v>
      </c>
      <c r="O119" s="132">
        <f>((-0.0000000006)*IKP!$K$5 + 0.0461)*K119</f>
        <v>1848.6816163436167</v>
      </c>
      <c r="P119" s="132">
        <f>((-0.0000000006)*IKP!$L$5 + 0.0461)*L119</f>
        <v>1860.4439871223799</v>
      </c>
      <c r="Q119" s="172">
        <f>((-0.0000000006)*IKP!$M$5 + 0.0461)*M119</f>
        <v>1840.0875775544268</v>
      </c>
      <c r="R119" s="132">
        <f t="shared" si="12"/>
        <v>438.34005173444467</v>
      </c>
      <c r="S119" s="132">
        <f t="shared" si="13"/>
        <v>443.68358792246801</v>
      </c>
      <c r="T119" s="132">
        <f t="shared" si="14"/>
        <v>446.50655690937123</v>
      </c>
      <c r="U119" s="172">
        <f t="shared" si="11"/>
        <v>441.62101861306246</v>
      </c>
      <c r="V119" s="175"/>
      <c r="W119" s="175"/>
    </row>
    <row r="120" spans="1:23" hidden="1" outlineLevel="1" x14ac:dyDescent="0.3">
      <c r="A120" s="98" t="s">
        <v>115</v>
      </c>
      <c r="B120" s="176" t="s">
        <v>115</v>
      </c>
      <c r="C120" s="176" t="s">
        <v>115</v>
      </c>
      <c r="D120" s="176" t="s">
        <v>440</v>
      </c>
      <c r="E120" s="180">
        <v>2458</v>
      </c>
      <c r="F120" s="132">
        <f>VLOOKUP(A120,Iedz_sk!$B$5:$Y$123,15,FALSE)</f>
        <v>10777</v>
      </c>
      <c r="G120" s="132">
        <f>VLOOKUP(A120,Iedz_sk!$B$5:$Y$123,16,FALSE)</f>
        <v>10610</v>
      </c>
      <c r="H120" s="132">
        <f>VLOOKUP(A120,Iedz_sk!$B$5:$Y$123,17,FALSE)</f>
        <v>10443</v>
      </c>
      <c r="I120" s="172">
        <f>VLOOKUP(A120,Iedz_sk!$B$5:$Y$123,24,FALSE)</f>
        <v>9272</v>
      </c>
      <c r="J120" s="133">
        <f>VLOOKUP($A120,IKP!$Q$6:$AC$124,11,FALSE)</f>
        <v>103256.21986562765</v>
      </c>
      <c r="K120" s="133">
        <f>VLOOKUP($A120,IKP!$Q$6:$AC$124,12,FALSE)</f>
        <v>108780.63142282021</v>
      </c>
      <c r="L120" s="133">
        <f>VLOOKUP($A120,IKP!$Q$6:$AC$124,13,FALSE)</f>
        <v>113191.50395031321</v>
      </c>
      <c r="M120" s="172">
        <f>VLOOKUP($A120,IKP!$Q$6:$AD$124,14,FALSE)</f>
        <v>139699.39234282059</v>
      </c>
      <c r="N120" s="132">
        <f>((-0.0000000006)*IKP!$J$5 + 0.0461)*J120</f>
        <v>2834.8960051830509</v>
      </c>
      <c r="O120" s="132">
        <f>((-0.0000000006)*IKP!$K$5 + 0.0461)*K120</f>
        <v>2883.1293894580017</v>
      </c>
      <c r="P120" s="132">
        <f>((-0.0000000006)*IKP!$L$5 + 0.0461)*L120</f>
        <v>2915.7479313030603</v>
      </c>
      <c r="Q120" s="172">
        <f>((-0.0000000006)*IKP!$M$5 + 0.0461)*M120</f>
        <v>3001.8469792639644</v>
      </c>
      <c r="R120" s="132">
        <f t="shared" si="12"/>
        <v>680.37504124393229</v>
      </c>
      <c r="S120" s="132">
        <f t="shared" si="13"/>
        <v>691.95105346992034</v>
      </c>
      <c r="T120" s="132">
        <f t="shared" si="14"/>
        <v>699.77950351273444</v>
      </c>
      <c r="U120" s="172">
        <f t="shared" si="11"/>
        <v>720.44327502335148</v>
      </c>
      <c r="V120" s="175"/>
      <c r="W120" s="175"/>
    </row>
    <row r="121" spans="1:23" hidden="1" outlineLevel="1" x14ac:dyDescent="0.3">
      <c r="A121" s="98" t="s">
        <v>116</v>
      </c>
      <c r="B121" s="176" t="s">
        <v>51</v>
      </c>
      <c r="C121" s="176" t="s">
        <v>51</v>
      </c>
      <c r="D121" s="176" t="s">
        <v>437</v>
      </c>
      <c r="E121" s="180">
        <v>651</v>
      </c>
      <c r="F121" s="132">
        <f>VLOOKUP(A121,Iedz_sk!$B$5:$Y$123,15,FALSE)</f>
        <v>3535</v>
      </c>
      <c r="G121" s="132">
        <f>VLOOKUP(A121,Iedz_sk!$B$5:$Y$123,16,FALSE)</f>
        <v>3451</v>
      </c>
      <c r="H121" s="132">
        <f>VLOOKUP(A121,Iedz_sk!$B$5:$Y$123,17,FALSE)</f>
        <v>3367</v>
      </c>
      <c r="I121" s="172">
        <f>VLOOKUP(A121,Iedz_sk!$B$5:$Y$123,24,FALSE)</f>
        <v>2780</v>
      </c>
      <c r="J121" s="133">
        <f>VLOOKUP($A121,IKP!$Q$6:$AC$124,11,FALSE)</f>
        <v>30168.401639579439</v>
      </c>
      <c r="K121" s="133">
        <f>VLOOKUP($A121,IKP!$Q$6:$AC$124,12,FALSE)</f>
        <v>31465.387817810581</v>
      </c>
      <c r="L121" s="133">
        <f>VLOOKUP($A121,IKP!$Q$6:$AC$124,13,FALSE)</f>
        <v>32402.078743795661</v>
      </c>
      <c r="M121" s="172">
        <f>VLOOKUP($A121,IKP!$Q$6:$AD$124,14,FALSE)</f>
        <v>36692.593966440407</v>
      </c>
      <c r="N121" s="132">
        <f>((-0.0000000006)*IKP!$J$5 + 0.0461)*J121</f>
        <v>828.27244113815584</v>
      </c>
      <c r="O121" s="132">
        <f>((-0.0000000006)*IKP!$K$5 + 0.0461)*K121</f>
        <v>833.96081803945378</v>
      </c>
      <c r="P121" s="132">
        <f>((-0.0000000006)*IKP!$L$5 + 0.0461)*L121</f>
        <v>834.65888136456408</v>
      </c>
      <c r="Q121" s="172">
        <f>((-0.0000000006)*IKP!$M$5 + 0.0461)*M121</f>
        <v>788.44689667097816</v>
      </c>
      <c r="R121" s="132">
        <f t="shared" si="12"/>
        <v>198.78538587315742</v>
      </c>
      <c r="S121" s="132">
        <f t="shared" si="13"/>
        <v>200.1505963294689</v>
      </c>
      <c r="T121" s="132">
        <f t="shared" si="14"/>
        <v>200.31813152749538</v>
      </c>
      <c r="U121" s="172">
        <f t="shared" si="11"/>
        <v>189.22725520103478</v>
      </c>
      <c r="V121" s="175"/>
      <c r="W121" s="175"/>
    </row>
    <row r="122" spans="1:23" hidden="1" outlineLevel="1" x14ac:dyDescent="0.3">
      <c r="A122" s="98" t="s">
        <v>117</v>
      </c>
      <c r="B122" s="176" t="s">
        <v>24</v>
      </c>
      <c r="C122" s="176" t="s">
        <v>24</v>
      </c>
      <c r="D122" s="176" t="s">
        <v>439</v>
      </c>
      <c r="E122" s="180">
        <v>641</v>
      </c>
      <c r="F122" s="132">
        <f>VLOOKUP(A122,Iedz_sk!$B$5:$Y$123,15,FALSE)</f>
        <v>4476</v>
      </c>
      <c r="G122" s="132">
        <f>VLOOKUP(A122,Iedz_sk!$B$5:$Y$123,16,FALSE)</f>
        <v>4352</v>
      </c>
      <c r="H122" s="132">
        <f>VLOOKUP(A122,Iedz_sk!$B$5:$Y$123,17,FALSE)</f>
        <v>4228</v>
      </c>
      <c r="I122" s="172">
        <f>VLOOKUP(A122,Iedz_sk!$B$5:$Y$123,24,FALSE)</f>
        <v>3359</v>
      </c>
      <c r="J122" s="133">
        <f>VLOOKUP($A122,IKP!$Q$6:$AC$124,11,FALSE)</f>
        <v>29433.733856232153</v>
      </c>
      <c r="K122" s="133">
        <f>VLOOKUP($A122,IKP!$Q$6:$AC$124,12,FALSE)</f>
        <v>30784.204097813257</v>
      </c>
      <c r="L122" s="133">
        <f>VLOOKUP($A122,IKP!$Q$6:$AC$124,13,FALSE)</f>
        <v>31790.107725476417</v>
      </c>
      <c r="M122" s="172">
        <f>VLOOKUP($A122,IKP!$Q$6:$AD$124,14,FALSE)</f>
        <v>36746.711314993598</v>
      </c>
      <c r="N122" s="132">
        <f>((-0.0000000006)*IKP!$J$5 + 0.0461)*J122</f>
        <v>808.10216212873411</v>
      </c>
      <c r="O122" s="132">
        <f>((-0.0000000006)*IKP!$K$5 + 0.0461)*K122</f>
        <v>815.90667754535286</v>
      </c>
      <c r="P122" s="132">
        <f>((-0.0000000006)*IKP!$L$5 + 0.0461)*L122</f>
        <v>818.89486049365996</v>
      </c>
      <c r="Q122" s="172">
        <f>((-0.0000000006)*IKP!$M$5 + 0.0461)*M122</f>
        <v>789.6097650024418</v>
      </c>
      <c r="R122" s="132">
        <f t="shared" si="12"/>
        <v>193.94451891089619</v>
      </c>
      <c r="S122" s="132">
        <f t="shared" si="13"/>
        <v>195.81760261088468</v>
      </c>
      <c r="T122" s="132">
        <f t="shared" si="14"/>
        <v>196.53476651847839</v>
      </c>
      <c r="U122" s="172">
        <f t="shared" si="11"/>
        <v>189.50634360058604</v>
      </c>
      <c r="V122" s="175"/>
      <c r="W122" s="175"/>
    </row>
    <row r="123" spans="1:23" hidden="1" outlineLevel="1" x14ac:dyDescent="0.3">
      <c r="A123" s="98" t="s">
        <v>118</v>
      </c>
      <c r="B123" s="176" t="s">
        <v>86</v>
      </c>
      <c r="C123" s="176" t="s">
        <v>86</v>
      </c>
      <c r="D123" s="176" t="s">
        <v>437</v>
      </c>
      <c r="E123" s="180">
        <v>287</v>
      </c>
      <c r="F123" s="132">
        <f>VLOOKUP(A123,Iedz_sk!$B$5:$Y$123,15,FALSE)</f>
        <v>5399</v>
      </c>
      <c r="G123" s="132">
        <f>VLOOKUP(A123,Iedz_sk!$B$5:$Y$123,16,FALSE)</f>
        <v>5293</v>
      </c>
      <c r="H123" s="132">
        <f>VLOOKUP(A123,Iedz_sk!$B$5:$Y$123,17,FALSE)</f>
        <v>5186</v>
      </c>
      <c r="I123" s="172">
        <f>VLOOKUP(A123,Iedz_sk!$B$5:$Y$123,24,FALSE)</f>
        <v>4441</v>
      </c>
      <c r="J123" s="133">
        <f>VLOOKUP($A123,IKP!$Q$6:$AC$124,11,FALSE)</f>
        <v>35503.290681366714</v>
      </c>
      <c r="K123" s="133">
        <f>VLOOKUP($A123,IKP!$Q$6:$AC$124,12,FALSE)</f>
        <v>37440.439404808261</v>
      </c>
      <c r="L123" s="133">
        <f>VLOOKUP($A123,IKP!$Q$6:$AC$124,13,FALSE)</f>
        <v>38993.258908306692</v>
      </c>
      <c r="M123" s="172">
        <f>VLOOKUP($A123,IKP!$Q$6:$AD$124,14,FALSE)</f>
        <v>48583.550148820061</v>
      </c>
      <c r="N123" s="132">
        <f>((-0.0000000006)*IKP!$J$5 + 0.0461)*J123</f>
        <v>974.74163836752371</v>
      </c>
      <c r="O123" s="132">
        <f>((-0.0000000006)*IKP!$K$5 + 0.0461)*K123</f>
        <v>992.32399913776476</v>
      </c>
      <c r="P123" s="132">
        <f>((-0.0000000006)*IKP!$L$5 + 0.0461)*L123</f>
        <v>1004.4438851750522</v>
      </c>
      <c r="Q123" s="172">
        <f>((-0.0000000006)*IKP!$M$5 + 0.0461)*M123</f>
        <v>1043.9586086263305</v>
      </c>
      <c r="R123" s="132">
        <f t="shared" si="12"/>
        <v>233.93799320820571</v>
      </c>
      <c r="S123" s="132">
        <f t="shared" si="13"/>
        <v>238.15775979306352</v>
      </c>
      <c r="T123" s="132">
        <f t="shared" si="14"/>
        <v>241.06653244201252</v>
      </c>
      <c r="U123" s="172">
        <f t="shared" si="11"/>
        <v>250.55006607031933</v>
      </c>
      <c r="V123" s="175"/>
      <c r="W123" s="175"/>
    </row>
    <row r="124" spans="1:23" hidden="1" outlineLevel="1" x14ac:dyDescent="0.3">
      <c r="A124" s="98" t="s">
        <v>119</v>
      </c>
      <c r="B124" s="176" t="s">
        <v>67</v>
      </c>
      <c r="C124" s="176" t="s">
        <v>67</v>
      </c>
      <c r="D124" s="176" t="s">
        <v>437</v>
      </c>
      <c r="E124" s="180">
        <v>309</v>
      </c>
      <c r="F124" s="132">
        <f>VLOOKUP(A124,Iedz_sk!$B$5:$Y$123,15,FALSE)</f>
        <v>2549</v>
      </c>
      <c r="G124" s="132">
        <f>VLOOKUP(A124,Iedz_sk!$B$5:$Y$123,16,FALSE)</f>
        <v>2479</v>
      </c>
      <c r="H124" s="132">
        <f>VLOOKUP(A124,Iedz_sk!$B$5:$Y$123,17,FALSE)</f>
        <v>2410</v>
      </c>
      <c r="I124" s="172">
        <f>VLOOKUP(A124,Iedz_sk!$B$5:$Y$123,24,FALSE)</f>
        <v>1922</v>
      </c>
      <c r="J124" s="133">
        <f>VLOOKUP($A124,IKP!$Q$6:$AC$124,11,FALSE)</f>
        <v>16761.972207224255</v>
      </c>
      <c r="K124" s="133">
        <f>VLOOKUP($A124,IKP!$Q$6:$AC$124,12,FALSE)</f>
        <v>17535.395670606402</v>
      </c>
      <c r="L124" s="133">
        <f>VLOOKUP($A124,IKP!$Q$6:$AC$124,13,FALSE)</f>
        <v>18120.662161399756</v>
      </c>
      <c r="M124" s="172">
        <f>VLOOKUP($A124,IKP!$Q$6:$AD$124,14,FALSE)</f>
        <v>21026.251606852547</v>
      </c>
      <c r="N124" s="132">
        <f>((-0.0000000006)*IKP!$J$5 + 0.0461)*J124</f>
        <v>460.19937695847705</v>
      </c>
      <c r="O124" s="132">
        <f>((-0.0000000006)*IKP!$K$5 + 0.0461)*K124</f>
        <v>464.75934136832024</v>
      </c>
      <c r="P124" s="132">
        <f>((-0.0000000006)*IKP!$L$5 + 0.0461)*L124</f>
        <v>466.77781783105974</v>
      </c>
      <c r="Q124" s="172">
        <f>((-0.0000000006)*IKP!$M$5 + 0.0461)*M124</f>
        <v>451.81005309160264</v>
      </c>
      <c r="R124" s="132">
        <f t="shared" si="12"/>
        <v>110.4478504700345</v>
      </c>
      <c r="S124" s="132">
        <f t="shared" si="13"/>
        <v>111.54224192839685</v>
      </c>
      <c r="T124" s="132">
        <f t="shared" si="14"/>
        <v>112.02667627945435</v>
      </c>
      <c r="U124" s="172">
        <f t="shared" si="11"/>
        <v>108.43441274198464</v>
      </c>
      <c r="V124" s="175"/>
      <c r="W124" s="175"/>
    </row>
    <row r="125" spans="1:23" hidden="1" outlineLevel="1" x14ac:dyDescent="0.3">
      <c r="F125" s="108"/>
      <c r="G125" s="108"/>
      <c r="H125" s="108"/>
      <c r="I125" s="108"/>
      <c r="J125" s="117"/>
      <c r="K125" s="117"/>
      <c r="L125" s="117"/>
      <c r="M125" s="117"/>
      <c r="N125" s="114"/>
      <c r="O125" s="114"/>
      <c r="P125" s="114"/>
      <c r="Q125" s="172"/>
    </row>
    <row r="126" spans="1:23" hidden="1" outlineLevel="1" x14ac:dyDescent="0.3">
      <c r="A126" s="98" t="s">
        <v>135</v>
      </c>
      <c r="B126" s="98"/>
      <c r="C126" s="98"/>
      <c r="D126" s="98"/>
      <c r="E126" s="179"/>
      <c r="F126" s="132">
        <f>IKP!J70</f>
        <v>183869</v>
      </c>
      <c r="G126" s="132">
        <f>IKP!K70</f>
        <v>184214</v>
      </c>
      <c r="H126" s="132">
        <f>IKP!L70</f>
        <v>184559</v>
      </c>
      <c r="I126" s="172">
        <f>IKP!M70</f>
        <v>186975</v>
      </c>
      <c r="J126" s="133">
        <f>IKP!J75</f>
        <v>5228143.5548050608</v>
      </c>
      <c r="K126" s="133">
        <f>IKP!K75</f>
        <v>5494772.0032940069</v>
      </c>
      <c r="L126" s="133">
        <f>IKP!L75</f>
        <v>5703575.4772889027</v>
      </c>
      <c r="M126" s="172">
        <f>IKP!M75</f>
        <v>6901336.9099097596</v>
      </c>
      <c r="N126" s="132">
        <f>((-0.0000000006)*IKP!$J$5 + 0.0461)*J126</f>
        <v>143538.50351415138</v>
      </c>
      <c r="O126" s="132">
        <f>((-0.0000000006)*IKP!$K$5 + 0.0461)*K126</f>
        <v>145633.81774730695</v>
      </c>
      <c r="P126" s="132">
        <f>((-0.0000000006)*IKP!$L$5 + 0.0461)*L126</f>
        <v>146920.81842322729</v>
      </c>
      <c r="Q126" s="172">
        <f>((-0.0000000006)*IKP!$M$5 + 0.0461)*M126</f>
        <v>148295.25747010301</v>
      </c>
      <c r="R126" s="132">
        <f t="shared" ref="R126:U129" si="15">N126*$X$6*$X$5</f>
        <v>34449.240843396328</v>
      </c>
      <c r="S126" s="132">
        <f t="shared" si="15"/>
        <v>34952.116259353672</v>
      </c>
      <c r="T126" s="132">
        <f t="shared" si="15"/>
        <v>35260.996421574549</v>
      </c>
      <c r="U126" s="172">
        <f t="shared" si="15"/>
        <v>35590.861792824726</v>
      </c>
      <c r="V126" s="175"/>
      <c r="W126" s="175"/>
    </row>
    <row r="127" spans="1:23" hidden="1" outlineLevel="1" x14ac:dyDescent="0.3">
      <c r="A127" s="98" t="s">
        <v>136</v>
      </c>
      <c r="B127" s="98"/>
      <c r="C127" s="98"/>
      <c r="D127" s="98"/>
      <c r="E127" s="179"/>
      <c r="F127" s="132">
        <f>IKP!J71</f>
        <v>112248</v>
      </c>
      <c r="G127" s="132">
        <f>IKP!K71</f>
        <v>112459</v>
      </c>
      <c r="H127" s="132">
        <f>IKP!L71</f>
        <v>112669</v>
      </c>
      <c r="I127" s="172">
        <f>IKP!M71</f>
        <v>114144</v>
      </c>
      <c r="J127" s="133">
        <f>IKP!J76</f>
        <v>3191667.2073038877</v>
      </c>
      <c r="K127" s="133">
        <f>IKP!K76</f>
        <v>3354449.524566215</v>
      </c>
      <c r="L127" s="133">
        <f>IKP!L76</f>
        <v>3481900.8850864135</v>
      </c>
      <c r="M127" s="172">
        <f>IKP!M76</f>
        <v>4213109.775342905</v>
      </c>
      <c r="N127" s="132">
        <f>((-0.0000000006)*IKP!$J$5 + 0.0461)*J127</f>
        <v>87627.114643884866</v>
      </c>
      <c r="O127" s="132">
        <f>((-0.0000000006)*IKP!$K$5 + 0.0461)*K127</f>
        <v>88906.562530776122</v>
      </c>
      <c r="P127" s="132">
        <f>((-0.0000000006)*IKP!$L$5 + 0.0461)*L127</f>
        <v>89691.760851145693</v>
      </c>
      <c r="Q127" s="172">
        <f>((-0.0000000006)*IKP!$M$5 + 0.0461)*M127</f>
        <v>90530.893802205843</v>
      </c>
      <c r="R127" s="132">
        <f t="shared" si="15"/>
        <v>21030.507514532368</v>
      </c>
      <c r="S127" s="132">
        <f t="shared" si="15"/>
        <v>21337.575007386269</v>
      </c>
      <c r="T127" s="132">
        <f t="shared" si="15"/>
        <v>21526.022604274967</v>
      </c>
      <c r="U127" s="172">
        <f t="shared" si="15"/>
        <v>21727.414512529402</v>
      </c>
      <c r="V127" s="175"/>
      <c r="W127" s="175"/>
    </row>
    <row r="128" spans="1:23" hidden="1" outlineLevel="1" x14ac:dyDescent="0.3">
      <c r="A128" s="98" t="s">
        <v>137</v>
      </c>
      <c r="B128" s="98"/>
      <c r="C128" s="98"/>
      <c r="D128" s="98"/>
      <c r="E128" s="179"/>
      <c r="F128" s="132">
        <f>IKP!J72</f>
        <v>90127</v>
      </c>
      <c r="G128" s="132">
        <f>IKP!K72</f>
        <v>90296</v>
      </c>
      <c r="H128" s="132">
        <f>IKP!L72</f>
        <v>90465</v>
      </c>
      <c r="I128" s="172">
        <f>IKP!M72</f>
        <v>91649</v>
      </c>
      <c r="J128" s="133">
        <f>IKP!J77</f>
        <v>2562677.2004194059</v>
      </c>
      <c r="K128" s="133">
        <f>IKP!K77</f>
        <v>2693367.1317567378</v>
      </c>
      <c r="L128" s="133">
        <f>IKP!L77</f>
        <v>2795712.783190961</v>
      </c>
      <c r="M128" s="172">
        <f>IKP!M77</f>
        <v>3382808.5383410593</v>
      </c>
      <c r="N128" s="132">
        <f>((-0.0000000006)*IKP!$J$5 + 0.0461)*J128</f>
        <v>70358.215393676597</v>
      </c>
      <c r="O128" s="132">
        <f>((-0.0000000006)*IKP!$K$5 + 0.0461)*K128</f>
        <v>71385.189004694708</v>
      </c>
      <c r="P128" s="132">
        <f>((-0.0000000006)*IKP!$L$5 + 0.0461)*L128</f>
        <v>72015.950664325544</v>
      </c>
      <c r="Q128" s="172">
        <f>((-0.0000000006)*IKP!$M$5 + 0.0461)*M128</f>
        <v>72689.461435365534</v>
      </c>
      <c r="R128" s="132">
        <f t="shared" si="15"/>
        <v>16885.971694482385</v>
      </c>
      <c r="S128" s="132">
        <f t="shared" si="15"/>
        <v>17132.445361126731</v>
      </c>
      <c r="T128" s="132">
        <f t="shared" si="15"/>
        <v>17283.82815943813</v>
      </c>
      <c r="U128" s="172">
        <f t="shared" si="15"/>
        <v>17445.470744487728</v>
      </c>
      <c r="V128" s="175"/>
      <c r="W128" s="175"/>
    </row>
    <row r="129" spans="1:23" hidden="1" outlineLevel="1" x14ac:dyDescent="0.3">
      <c r="A129" s="98" t="s">
        <v>138</v>
      </c>
      <c r="B129" s="98"/>
      <c r="C129" s="98"/>
      <c r="D129" s="98"/>
      <c r="E129" s="179"/>
      <c r="F129" s="132">
        <f>IKP!J73</f>
        <v>228376</v>
      </c>
      <c r="G129" s="132">
        <f>IKP!K73</f>
        <v>228805</v>
      </c>
      <c r="H129" s="132">
        <f>IKP!L73</f>
        <v>229233</v>
      </c>
      <c r="I129" s="172">
        <f>IKP!M73</f>
        <v>232234</v>
      </c>
      <c r="J129" s="133">
        <f>IKP!J78</f>
        <v>6493658.5964581342</v>
      </c>
      <c r="K129" s="133">
        <f>IKP!K78</f>
        <v>6824841.2618676396</v>
      </c>
      <c r="L129" s="133">
        <f>IKP!L78</f>
        <v>7084172.0933975969</v>
      </c>
      <c r="M129" s="172">
        <f>IKP!M78</f>
        <v>8571868.3029067162</v>
      </c>
      <c r="N129" s="132">
        <f>((-0.0000000006)*IKP!$J$5 + 0.0461)*J129</f>
        <v>178283.17594889752</v>
      </c>
      <c r="O129" s="132">
        <f>((-0.0000000006)*IKP!$K$5 + 0.0461)*K129</f>
        <v>180886.06549813028</v>
      </c>
      <c r="P129" s="132">
        <f>((-0.0000000006)*IKP!$L$5 + 0.0461)*L129</f>
        <v>182484.19188233392</v>
      </c>
      <c r="Q129" s="172">
        <f>((-0.0000000006)*IKP!$M$5 + 0.0461)*M129</f>
        <v>184191.47385111329</v>
      </c>
      <c r="R129" s="132">
        <f t="shared" si="15"/>
        <v>42787.962227735399</v>
      </c>
      <c r="S129" s="132">
        <f t="shared" si="15"/>
        <v>43412.655719551272</v>
      </c>
      <c r="T129" s="132">
        <f t="shared" si="15"/>
        <v>43796.206051760142</v>
      </c>
      <c r="U129" s="172">
        <f t="shared" si="15"/>
        <v>44205.953724267187</v>
      </c>
      <c r="V129" s="175"/>
      <c r="W129" s="175"/>
    </row>
    <row r="130" spans="1:23" hidden="1" outlineLevel="1" x14ac:dyDescent="0.3">
      <c r="A130" s="148" t="s">
        <v>462</v>
      </c>
      <c r="B130" s="148"/>
      <c r="C130" s="148"/>
      <c r="D130" s="148"/>
      <c r="E130" s="181"/>
      <c r="F130" s="149">
        <f>SUM(F126:F129)</f>
        <v>614620</v>
      </c>
      <c r="G130" s="149">
        <f t="shared" ref="G130:U130" si="16">SUM(G126:G129)</f>
        <v>615774</v>
      </c>
      <c r="H130" s="149">
        <f t="shared" si="16"/>
        <v>616926</v>
      </c>
      <c r="I130" s="173">
        <f t="shared" si="16"/>
        <v>625002</v>
      </c>
      <c r="J130" s="150">
        <f t="shared" si="16"/>
        <v>17476146.558986489</v>
      </c>
      <c r="K130" s="150">
        <f t="shared" si="16"/>
        <v>18367429.921484601</v>
      </c>
      <c r="L130" s="150">
        <f t="shared" si="16"/>
        <v>19065361.238963872</v>
      </c>
      <c r="M130" s="173">
        <f t="shared" si="16"/>
        <v>23069123.526500441</v>
      </c>
      <c r="N130" s="149">
        <f t="shared" si="16"/>
        <v>479807.00950061041</v>
      </c>
      <c r="O130" s="149">
        <f t="shared" si="16"/>
        <v>486811.63478090806</v>
      </c>
      <c r="P130" s="149">
        <f t="shared" si="16"/>
        <v>491112.72182103246</v>
      </c>
      <c r="Q130" s="173">
        <f t="shared" si="16"/>
        <v>495707.08655878768</v>
      </c>
      <c r="R130" s="149">
        <f>SUM(R126:R129)</f>
        <v>115153.68228014649</v>
      </c>
      <c r="S130" s="149">
        <f t="shared" si="16"/>
        <v>116834.79234741796</v>
      </c>
      <c r="T130" s="149">
        <f t="shared" si="16"/>
        <v>117867.05323704777</v>
      </c>
      <c r="U130" s="173">
        <f t="shared" si="16"/>
        <v>118969.70077410905</v>
      </c>
      <c r="V130" s="175"/>
      <c r="W130" s="175"/>
    </row>
    <row r="131" spans="1:23" hidden="1" outlineLevel="1" x14ac:dyDescent="0.3">
      <c r="A131" s="83"/>
      <c r="B131" s="83"/>
      <c r="C131" s="83"/>
      <c r="D131" s="83"/>
      <c r="E131" s="182"/>
    </row>
    <row r="132" spans="1:23" hidden="1" outlineLevel="1" x14ac:dyDescent="0.3">
      <c r="A132" s="83"/>
      <c r="B132" s="83"/>
      <c r="C132" s="83"/>
      <c r="D132" s="83"/>
      <c r="E132" s="182"/>
    </row>
    <row r="133" spans="1:23" hidden="1" outlineLevel="1" x14ac:dyDescent="0.3"/>
    <row r="134" spans="1:23" hidden="1" outlineLevel="1" x14ac:dyDescent="0.3"/>
    <row r="135" spans="1:23" hidden="1" outlineLevel="1" x14ac:dyDescent="0.3"/>
    <row r="136" spans="1:23" collapsed="1" x14ac:dyDescent="0.3"/>
    <row r="140" spans="1:23" ht="14.5" x14ac:dyDescent="0.35">
      <c r="A140" s="153" t="s">
        <v>316</v>
      </c>
      <c r="B140" t="s">
        <v>453</v>
      </c>
      <c r="C140" t="s">
        <v>454</v>
      </c>
      <c r="D140" t="s">
        <v>455</v>
      </c>
      <c r="E140" t="s">
        <v>489</v>
      </c>
      <c r="F140" t="s">
        <v>490</v>
      </c>
      <c r="G140" t="s">
        <v>491</v>
      </c>
      <c r="H140" t="s">
        <v>492</v>
      </c>
      <c r="I140" t="s">
        <v>493</v>
      </c>
      <c r="J140" t="s">
        <v>456</v>
      </c>
      <c r="K140" t="s">
        <v>457</v>
      </c>
      <c r="L140" t="s">
        <v>458</v>
      </c>
      <c r="M140" t="s">
        <v>494</v>
      </c>
      <c r="N140" t="s">
        <v>459</v>
      </c>
      <c r="O140" t="s">
        <v>460</v>
      </c>
      <c r="P140" t="s">
        <v>461</v>
      </c>
      <c r="Q140" t="s">
        <v>495</v>
      </c>
    </row>
    <row r="141" spans="1:23" ht="14.5" x14ac:dyDescent="0.35">
      <c r="A141" s="154" t="s">
        <v>11</v>
      </c>
      <c r="B141" s="145">
        <v>29367</v>
      </c>
      <c r="C141" s="145">
        <v>28877</v>
      </c>
      <c r="D141" s="145">
        <v>28387</v>
      </c>
      <c r="E141" s="145">
        <v>24957</v>
      </c>
      <c r="F141" s="145">
        <v>250623.8899432898</v>
      </c>
      <c r="G141" s="145">
        <v>263293.53926830372</v>
      </c>
      <c r="H141" s="145">
        <v>273180.22254236042</v>
      </c>
      <c r="I141" s="145">
        <v>329401.82288505509</v>
      </c>
      <c r="J141" s="145">
        <v>6880.870375927645</v>
      </c>
      <c r="K141" s="145">
        <v>6978.3502006738072</v>
      </c>
      <c r="L141" s="145">
        <v>7036.9651515580281</v>
      </c>
      <c r="M141" s="145">
        <v>7078.1543885674837</v>
      </c>
      <c r="N141" s="145">
        <v>1651.4088902226347</v>
      </c>
      <c r="O141" s="145">
        <v>1674.8040481617136</v>
      </c>
      <c r="P141" s="145">
        <v>1688.8716363739268</v>
      </c>
      <c r="Q141" s="145">
        <v>1698.7570532561961</v>
      </c>
    </row>
    <row r="142" spans="1:23" ht="14.5" x14ac:dyDescent="0.35">
      <c r="A142" s="154" t="s">
        <v>16</v>
      </c>
      <c r="B142" s="145">
        <v>13861</v>
      </c>
      <c r="C142" s="145">
        <v>13430</v>
      </c>
      <c r="D142" s="145">
        <v>12998</v>
      </c>
      <c r="E142" s="145">
        <v>9979</v>
      </c>
      <c r="F142" s="145">
        <v>130893.41369186182</v>
      </c>
      <c r="G142" s="145">
        <v>136451.99055149566</v>
      </c>
      <c r="H142" s="145">
        <v>140408.77439595995</v>
      </c>
      <c r="I142" s="145">
        <v>157135.95206718461</v>
      </c>
      <c r="J142" s="145">
        <v>3593.6742218795339</v>
      </c>
      <c r="K142" s="145">
        <v>3616.5330083433641</v>
      </c>
      <c r="L142" s="145">
        <v>3616.8491379134598</v>
      </c>
      <c r="M142" s="145">
        <v>3376.5220817074419</v>
      </c>
      <c r="N142" s="145">
        <v>862.48181325108817</v>
      </c>
      <c r="O142" s="145">
        <v>867.96792200240748</v>
      </c>
      <c r="P142" s="145">
        <v>868.04379309923036</v>
      </c>
      <c r="Q142" s="145">
        <v>810.36529960978601</v>
      </c>
    </row>
    <row r="143" spans="1:23" ht="14.5" x14ac:dyDescent="0.35">
      <c r="A143" s="154" t="s">
        <v>443</v>
      </c>
      <c r="B143" s="145">
        <v>25927</v>
      </c>
      <c r="C143" s="145">
        <v>25194</v>
      </c>
      <c r="D143" s="145">
        <v>24462</v>
      </c>
      <c r="E143" s="145">
        <v>19331</v>
      </c>
      <c r="F143" s="145">
        <v>170493.39090494439</v>
      </c>
      <c r="G143" s="145">
        <v>178211.68153499704</v>
      </c>
      <c r="H143" s="145">
        <v>183928.48041168498</v>
      </c>
      <c r="I143" s="145">
        <v>211476.83132781822</v>
      </c>
      <c r="J143" s="145">
        <v>4680.8902496674909</v>
      </c>
      <c r="K143" s="145">
        <v>4723.3347504773938</v>
      </c>
      <c r="L143" s="145">
        <v>4737.8916928561757</v>
      </c>
      <c r="M143" s="145">
        <v>4544.1936193099746</v>
      </c>
      <c r="N143" s="145">
        <v>1123.4136599201979</v>
      </c>
      <c r="O143" s="145">
        <v>1133.6003401145745</v>
      </c>
      <c r="P143" s="145">
        <v>1137.0940062854822</v>
      </c>
      <c r="Q143" s="145">
        <v>1090.6064686343939</v>
      </c>
    </row>
    <row r="144" spans="1:23" ht="14.5" x14ac:dyDescent="0.35">
      <c r="A144" s="154" t="s">
        <v>20</v>
      </c>
      <c r="B144" s="145">
        <v>21134</v>
      </c>
      <c r="C144" s="145">
        <v>21341</v>
      </c>
      <c r="D144" s="145">
        <v>21546</v>
      </c>
      <c r="E144" s="145">
        <v>22990</v>
      </c>
      <c r="F144" s="145">
        <v>274173.9145995063</v>
      </c>
      <c r="G144" s="145">
        <v>291879.4973229554</v>
      </c>
      <c r="H144" s="145">
        <v>306830.59950120328</v>
      </c>
      <c r="I144" s="145">
        <v>404960.00202261854</v>
      </c>
      <c r="J144" s="145">
        <v>7527.4355020454805</v>
      </c>
      <c r="K144" s="145">
        <v>7735.9944128390471</v>
      </c>
      <c r="L144" s="145">
        <v>7903.7794757884367</v>
      </c>
      <c r="M144" s="145">
        <v>8701.7412059401831</v>
      </c>
      <c r="N144" s="145">
        <v>1806.5845204909151</v>
      </c>
      <c r="O144" s="145">
        <v>1856.6386590813713</v>
      </c>
      <c r="P144" s="145">
        <v>1896.9070741892251</v>
      </c>
      <c r="Q144" s="145">
        <v>2088.4178894256438</v>
      </c>
    </row>
    <row r="145" spans="1:17" ht="14.5" x14ac:dyDescent="0.35">
      <c r="A145" s="154" t="s">
        <v>24</v>
      </c>
      <c r="B145" s="145">
        <v>19015</v>
      </c>
      <c r="C145" s="145">
        <v>18562</v>
      </c>
      <c r="D145" s="145">
        <v>18109</v>
      </c>
      <c r="E145" s="145">
        <v>14933</v>
      </c>
      <c r="F145" s="145">
        <v>125040.76167923467</v>
      </c>
      <c r="G145" s="145">
        <v>131299.72345211619</v>
      </c>
      <c r="H145" s="145">
        <v>136160.61040696604</v>
      </c>
      <c r="I145" s="145">
        <v>163363.69159476017</v>
      </c>
      <c r="J145" s="145">
        <v>3432.9898598922873</v>
      </c>
      <c r="K145" s="145">
        <v>3479.976964291553</v>
      </c>
      <c r="L145" s="145">
        <v>3507.4188809554607</v>
      </c>
      <c r="M145" s="145">
        <v>3510.3431440254431</v>
      </c>
      <c r="N145" s="145">
        <v>823.91756637414892</v>
      </c>
      <c r="O145" s="145">
        <v>835.19447142997274</v>
      </c>
      <c r="P145" s="145">
        <v>841.78053142931049</v>
      </c>
      <c r="Q145" s="145">
        <v>842.48235456610632</v>
      </c>
    </row>
    <row r="146" spans="1:17" ht="14.5" x14ac:dyDescent="0.35">
      <c r="A146" s="154" t="s">
        <v>25</v>
      </c>
      <c r="B146" s="145">
        <v>41755</v>
      </c>
      <c r="C146" s="145">
        <v>41093</v>
      </c>
      <c r="D146" s="145">
        <v>40430</v>
      </c>
      <c r="E146" s="145">
        <v>35787</v>
      </c>
      <c r="F146" s="145">
        <v>356345.57580216113</v>
      </c>
      <c r="G146" s="145">
        <v>374676.08855325705</v>
      </c>
      <c r="H146" s="145">
        <v>389075.15402781661</v>
      </c>
      <c r="I146" s="145">
        <v>472344.55405647587</v>
      </c>
      <c r="J146" s="145">
        <v>9783.45566611703</v>
      </c>
      <c r="K146" s="145">
        <v>9930.4410013605539</v>
      </c>
      <c r="L146" s="145">
        <v>10022.351818701909</v>
      </c>
      <c r="M146" s="145">
        <v>10149.693917684997</v>
      </c>
      <c r="N146" s="145">
        <v>2348.0293598680869</v>
      </c>
      <c r="O146" s="145">
        <v>2383.3058403265336</v>
      </c>
      <c r="P146" s="145">
        <v>2405.3644364884581</v>
      </c>
      <c r="Q146" s="145">
        <v>2435.9265402443998</v>
      </c>
    </row>
    <row r="147" spans="1:17" ht="14.5" x14ac:dyDescent="0.35">
      <c r="A147" s="154" t="s">
        <v>31</v>
      </c>
      <c r="B147" s="145">
        <v>41161</v>
      </c>
      <c r="C147" s="145">
        <v>40221</v>
      </c>
      <c r="D147" s="145">
        <v>39282</v>
      </c>
      <c r="E147" s="145">
        <v>32705</v>
      </c>
      <c r="F147" s="145">
        <v>388695.17357843765</v>
      </c>
      <c r="G147" s="145">
        <v>408654.91526222683</v>
      </c>
      <c r="H147" s="145">
        <v>424337.39620111545</v>
      </c>
      <c r="I147" s="145">
        <v>514994.61993759626</v>
      </c>
      <c r="J147" s="145">
        <v>10671.61277301663</v>
      </c>
      <c r="K147" s="145">
        <v>10831.018177853941</v>
      </c>
      <c r="L147" s="145">
        <v>10930.686862249311</v>
      </c>
      <c r="M147" s="145">
        <v>11066.15439244833</v>
      </c>
      <c r="N147" s="145">
        <v>2561.1870655239909</v>
      </c>
      <c r="O147" s="145">
        <v>2599.4443626849461</v>
      </c>
      <c r="P147" s="145">
        <v>2623.3648469398349</v>
      </c>
      <c r="Q147" s="145">
        <v>2655.8770541875997</v>
      </c>
    </row>
    <row r="148" spans="1:17" ht="14.5" x14ac:dyDescent="0.35">
      <c r="A148" s="154" t="s">
        <v>2</v>
      </c>
      <c r="B148" s="145">
        <v>80627</v>
      </c>
      <c r="C148" s="145">
        <v>79117</v>
      </c>
      <c r="D148" s="145">
        <v>77607</v>
      </c>
      <c r="E148" s="145">
        <v>67039</v>
      </c>
      <c r="F148" s="145">
        <v>738858.72397600824</v>
      </c>
      <c r="G148" s="145">
        <v>776540.51889878465</v>
      </c>
      <c r="H148" s="145">
        <v>806049.05861693854</v>
      </c>
      <c r="I148" s="145">
        <v>975319.36092649563</v>
      </c>
      <c r="J148" s="145">
        <v>20285.341141870402</v>
      </c>
      <c r="K148" s="145">
        <v>20581.483696668256</v>
      </c>
      <c r="L148" s="145">
        <v>20763.359379187881</v>
      </c>
      <c r="M148" s="145">
        <v>20957.56773393957</v>
      </c>
      <c r="N148" s="145">
        <v>4868.4818740488963</v>
      </c>
      <c r="O148" s="145">
        <v>4939.5560872003816</v>
      </c>
      <c r="P148" s="145">
        <v>4983.2062510050919</v>
      </c>
      <c r="Q148" s="145">
        <v>5029.8162561454974</v>
      </c>
    </row>
    <row r="149" spans="1:17" ht="14.5" x14ac:dyDescent="0.35">
      <c r="A149" s="154" t="s">
        <v>441</v>
      </c>
      <c r="B149" s="145">
        <v>33364</v>
      </c>
      <c r="C149" s="145">
        <v>32763</v>
      </c>
      <c r="D149" s="145">
        <v>32161</v>
      </c>
      <c r="E149" s="145">
        <v>27945</v>
      </c>
      <c r="F149" s="145">
        <v>319666.00348861469</v>
      </c>
      <c r="G149" s="145">
        <v>335907.61803071242</v>
      </c>
      <c r="H149" s="145">
        <v>348592.54606396845</v>
      </c>
      <c r="I149" s="145">
        <v>421041.79454487935</v>
      </c>
      <c r="J149" s="145">
        <v>8776.4192555374702</v>
      </c>
      <c r="K149" s="145">
        <v>8902.9187734978805</v>
      </c>
      <c r="L149" s="145">
        <v>8979.543159881041</v>
      </c>
      <c r="M149" s="145">
        <v>9047.3052022790671</v>
      </c>
      <c r="N149" s="145">
        <v>2106.3406213289927</v>
      </c>
      <c r="O149" s="145">
        <v>2136.700505639491</v>
      </c>
      <c r="P149" s="145">
        <v>2155.0903583714503</v>
      </c>
      <c r="Q149" s="145">
        <v>2171.3532485469755</v>
      </c>
    </row>
    <row r="150" spans="1:17" ht="14.5" x14ac:dyDescent="0.35">
      <c r="A150" s="154" t="s">
        <v>35</v>
      </c>
      <c r="B150" s="145">
        <v>28517</v>
      </c>
      <c r="C150" s="145">
        <v>27953</v>
      </c>
      <c r="D150" s="145">
        <v>27388</v>
      </c>
      <c r="E150" s="145">
        <v>23438</v>
      </c>
      <c r="F150" s="145">
        <v>243369.81882769076</v>
      </c>
      <c r="G150" s="145">
        <v>254868.72954832198</v>
      </c>
      <c r="H150" s="145">
        <v>263566.41895903641</v>
      </c>
      <c r="I150" s="145">
        <v>309352.88395159366</v>
      </c>
      <c r="J150" s="145">
        <v>6681.7101001235615</v>
      </c>
      <c r="K150" s="145">
        <v>6755.0584603468133</v>
      </c>
      <c r="L150" s="145">
        <v>6789.319109834476</v>
      </c>
      <c r="M150" s="145">
        <v>6647.3447353145275</v>
      </c>
      <c r="N150" s="145">
        <v>1603.6104240296545</v>
      </c>
      <c r="O150" s="145">
        <v>1621.2140304832351</v>
      </c>
      <c r="P150" s="145">
        <v>1629.4365863602743</v>
      </c>
      <c r="Q150" s="145">
        <v>1595.3627364754866</v>
      </c>
    </row>
    <row r="151" spans="1:17" ht="14.5" x14ac:dyDescent="0.35">
      <c r="A151" s="154" t="s">
        <v>42</v>
      </c>
      <c r="B151" s="145">
        <v>19619</v>
      </c>
      <c r="C151" s="145">
        <v>19190</v>
      </c>
      <c r="D151" s="145">
        <v>18761</v>
      </c>
      <c r="E151" s="145">
        <v>15759</v>
      </c>
      <c r="F151" s="145">
        <v>185267.86546574108</v>
      </c>
      <c r="G151" s="145">
        <v>194974.95894886088</v>
      </c>
      <c r="H151" s="145">
        <v>202662.64167122671</v>
      </c>
      <c r="I151" s="145">
        <v>248151.66535993211</v>
      </c>
      <c r="J151" s="145">
        <v>5086.5229463281566</v>
      </c>
      <c r="K151" s="145">
        <v>5167.629816091523</v>
      </c>
      <c r="L151" s="145">
        <v>5220.4728940140349</v>
      </c>
      <c r="M151" s="145">
        <v>5332.2588922364548</v>
      </c>
      <c r="N151" s="145">
        <v>1220.7655071187576</v>
      </c>
      <c r="O151" s="145">
        <v>1240.2311558619656</v>
      </c>
      <c r="P151" s="145">
        <v>1252.9134945633684</v>
      </c>
      <c r="Q151" s="145">
        <v>1279.7421341367492</v>
      </c>
    </row>
    <row r="152" spans="1:17" ht="14.5" x14ac:dyDescent="0.35">
      <c r="A152" s="154" t="s">
        <v>5</v>
      </c>
      <c r="B152" s="145">
        <v>55336</v>
      </c>
      <c r="C152" s="145">
        <v>54885</v>
      </c>
      <c r="D152" s="145">
        <v>54435</v>
      </c>
      <c r="E152" s="145">
        <v>51280</v>
      </c>
      <c r="F152" s="145">
        <v>621956.14901143278</v>
      </c>
      <c r="G152" s="145">
        <v>653675.91261101584</v>
      </c>
      <c r="H152" s="145">
        <v>678515.59729023441</v>
      </c>
      <c r="I152" s="145">
        <v>821003.87272118358</v>
      </c>
      <c r="J152" s="145">
        <v>17075.784921490042</v>
      </c>
      <c r="K152" s="145">
        <v>17325.071661923066</v>
      </c>
      <c r="L152" s="145">
        <v>17478.170888376</v>
      </c>
      <c r="M152" s="145">
        <v>17641.651505857521</v>
      </c>
      <c r="N152" s="145">
        <v>4098.1883811576099</v>
      </c>
      <c r="O152" s="145">
        <v>4158.0171988615357</v>
      </c>
      <c r="P152" s="145">
        <v>4194.76101321024</v>
      </c>
      <c r="Q152" s="145">
        <v>4233.9963614058051</v>
      </c>
    </row>
    <row r="153" spans="1:17" ht="14.5" x14ac:dyDescent="0.35">
      <c r="A153" s="154" t="s">
        <v>50</v>
      </c>
      <c r="B153" s="145">
        <v>31969</v>
      </c>
      <c r="C153" s="145">
        <v>31597</v>
      </c>
      <c r="D153" s="145">
        <v>31225</v>
      </c>
      <c r="E153" s="145">
        <v>28621</v>
      </c>
      <c r="F153" s="145">
        <v>272829.88175833522</v>
      </c>
      <c r="G153" s="145">
        <v>288093.84493751405</v>
      </c>
      <c r="H153" s="145">
        <v>300491.50839768921</v>
      </c>
      <c r="I153" s="145">
        <v>377762.13378183125</v>
      </c>
      <c r="J153" s="145">
        <v>7490.5351260949665</v>
      </c>
      <c r="K153" s="145">
        <v>7635.6592198182043</v>
      </c>
      <c r="L153" s="145">
        <v>7740.4881409588688</v>
      </c>
      <c r="M153" s="145">
        <v>8117.3160538201682</v>
      </c>
      <c r="N153" s="145">
        <v>1797.7284302627918</v>
      </c>
      <c r="O153" s="145">
        <v>1832.5582127563689</v>
      </c>
      <c r="P153" s="145">
        <v>1857.7171538301286</v>
      </c>
      <c r="Q153" s="145">
        <v>1948.1558529168403</v>
      </c>
    </row>
    <row r="154" spans="1:17" ht="14.5" x14ac:dyDescent="0.35">
      <c r="A154" s="154" t="s">
        <v>51</v>
      </c>
      <c r="B154" s="145">
        <v>40576</v>
      </c>
      <c r="C154" s="145">
        <v>39847</v>
      </c>
      <c r="D154" s="145">
        <v>39119</v>
      </c>
      <c r="E154" s="145">
        <v>34014</v>
      </c>
      <c r="F154" s="145">
        <v>411669.31385950802</v>
      </c>
      <c r="G154" s="145">
        <v>432183.04037332826</v>
      </c>
      <c r="H154" s="145">
        <v>448100.31797568989</v>
      </c>
      <c r="I154" s="145">
        <v>537179.08782718098</v>
      </c>
      <c r="J154" s="145">
        <v>11302.367013197774</v>
      </c>
      <c r="K154" s="145">
        <v>11454.609235374046</v>
      </c>
      <c r="L154" s="145">
        <v>11542.806037168533</v>
      </c>
      <c r="M154" s="145">
        <v>11542.852084572192</v>
      </c>
      <c r="N154" s="145">
        <v>2712.5680831674663</v>
      </c>
      <c r="O154" s="145">
        <v>2749.1062164897712</v>
      </c>
      <c r="P154" s="145">
        <v>2770.2734489204486</v>
      </c>
      <c r="Q154" s="145">
        <v>2770.2845002973258</v>
      </c>
    </row>
    <row r="155" spans="1:17" ht="14.5" x14ac:dyDescent="0.35">
      <c r="A155" s="154" t="s">
        <v>4</v>
      </c>
      <c r="B155" s="145">
        <v>50248</v>
      </c>
      <c r="C155" s="145">
        <v>49821</v>
      </c>
      <c r="D155" s="145">
        <v>49394</v>
      </c>
      <c r="E155" s="145">
        <v>46404</v>
      </c>
      <c r="F155" s="145">
        <v>449115.7015194947</v>
      </c>
      <c r="G155" s="145">
        <v>472020.60229698889</v>
      </c>
      <c r="H155" s="145">
        <v>489957.38518427446</v>
      </c>
      <c r="I155" s="145">
        <v>592848.43607297214</v>
      </c>
      <c r="J155" s="145">
        <v>12330.456313038299</v>
      </c>
      <c r="K155" s="145">
        <v>12510.466735777967</v>
      </c>
      <c r="L155" s="145">
        <v>12621.019974297744</v>
      </c>
      <c r="M155" s="145">
        <v>12739.069634746884</v>
      </c>
      <c r="N155" s="145">
        <v>2959.3095151291923</v>
      </c>
      <c r="O155" s="145">
        <v>3002.5120165867124</v>
      </c>
      <c r="P155" s="145">
        <v>3029.0447938314587</v>
      </c>
      <c r="Q155" s="145">
        <v>3057.3767123392522</v>
      </c>
    </row>
    <row r="156" spans="1:17" ht="14.5" x14ac:dyDescent="0.35">
      <c r="A156" s="154" t="s">
        <v>56</v>
      </c>
      <c r="B156" s="145">
        <v>20008</v>
      </c>
      <c r="C156" s="145">
        <v>19474</v>
      </c>
      <c r="D156" s="145">
        <v>18938</v>
      </c>
      <c r="E156" s="145">
        <v>15196</v>
      </c>
      <c r="F156" s="145">
        <v>131570.63158969904</v>
      </c>
      <c r="G156" s="145">
        <v>137750.82504614323</v>
      </c>
      <c r="H156" s="145">
        <v>142393.81743260936</v>
      </c>
      <c r="I156" s="145">
        <v>166240.85297488622</v>
      </c>
      <c r="J156" s="145">
        <v>3612.2672162358608</v>
      </c>
      <c r="K156" s="145">
        <v>3650.9574077477482</v>
      </c>
      <c r="L156" s="145">
        <v>3667.9827029396715</v>
      </c>
      <c r="M156" s="145">
        <v>3572.1673084183112</v>
      </c>
      <c r="N156" s="145">
        <v>866.94413189660645</v>
      </c>
      <c r="O156" s="145">
        <v>876.22977785945955</v>
      </c>
      <c r="P156" s="145">
        <v>880.31584870552115</v>
      </c>
      <c r="Q156" s="145">
        <v>857.32015402039474</v>
      </c>
    </row>
    <row r="157" spans="1:17" ht="14.5" x14ac:dyDescent="0.35">
      <c r="A157" s="154" t="s">
        <v>59</v>
      </c>
      <c r="B157" s="145">
        <v>27736</v>
      </c>
      <c r="C157" s="145">
        <v>27293</v>
      </c>
      <c r="D157" s="145">
        <v>26853</v>
      </c>
      <c r="E157" s="145">
        <v>23759</v>
      </c>
      <c r="F157" s="145">
        <v>265743.20443472662</v>
      </c>
      <c r="G157" s="145">
        <v>279825.61483723205</v>
      </c>
      <c r="H157" s="145">
        <v>291059.2220221929</v>
      </c>
      <c r="I157" s="145">
        <v>357972.15947725135</v>
      </c>
      <c r="J157" s="145">
        <v>7295.9706411577527</v>
      </c>
      <c r="K157" s="145">
        <v>7416.5174765765551</v>
      </c>
      <c r="L157" s="145">
        <v>7497.517877935562</v>
      </c>
      <c r="M157" s="145">
        <v>7692.0710073697737</v>
      </c>
      <c r="N157" s="145">
        <v>1751.0329538778608</v>
      </c>
      <c r="O157" s="145">
        <v>1779.9641943783731</v>
      </c>
      <c r="P157" s="145">
        <v>1799.4042907045346</v>
      </c>
      <c r="Q157" s="145">
        <v>1846.0970417687458</v>
      </c>
    </row>
    <row r="158" spans="1:17" ht="14.5" x14ac:dyDescent="0.35">
      <c r="A158" s="154" t="s">
        <v>61</v>
      </c>
      <c r="B158" s="145">
        <v>30077</v>
      </c>
      <c r="C158" s="145">
        <v>30131</v>
      </c>
      <c r="D158" s="145">
        <v>30184</v>
      </c>
      <c r="E158" s="145">
        <v>30562</v>
      </c>
      <c r="F158" s="145">
        <v>390192.52528671105</v>
      </c>
      <c r="G158" s="145">
        <v>412099.7672947832</v>
      </c>
      <c r="H158" s="145">
        <v>429841.95745587675</v>
      </c>
      <c r="I158" s="145">
        <v>538337.86784755404</v>
      </c>
      <c r="J158" s="145">
        <v>10712.72251324983</v>
      </c>
      <c r="K158" s="145">
        <v>10922.320774717835</v>
      </c>
      <c r="L158" s="145">
        <v>11072.481188953781</v>
      </c>
      <c r="M158" s="145">
        <v>11567.751837144144</v>
      </c>
      <c r="N158" s="145">
        <v>2571.0534031799593</v>
      </c>
      <c r="O158" s="145">
        <v>2621.3569859322802</v>
      </c>
      <c r="P158" s="145">
        <v>2657.3954853489076</v>
      </c>
      <c r="Q158" s="145">
        <v>2776.2604409145947</v>
      </c>
    </row>
    <row r="159" spans="1:17" ht="14.5" x14ac:dyDescent="0.35">
      <c r="A159" s="154" t="s">
        <v>6</v>
      </c>
      <c r="B159" s="145">
        <v>67964</v>
      </c>
      <c r="C159" s="145">
        <v>66775</v>
      </c>
      <c r="D159" s="145">
        <v>65587</v>
      </c>
      <c r="E159" s="145">
        <v>57267</v>
      </c>
      <c r="F159" s="145">
        <v>956530.2654413135</v>
      </c>
      <c r="G159" s="145">
        <v>1005313.3089788205</v>
      </c>
      <c r="H159" s="145">
        <v>1043515.2147200156</v>
      </c>
      <c r="I159" s="145">
        <v>1262653.409811219</v>
      </c>
      <c r="J159" s="145">
        <v>26261.50591087959</v>
      </c>
      <c r="K159" s="145">
        <v>26644.893569923403</v>
      </c>
      <c r="L159" s="145">
        <v>26880.350754406027</v>
      </c>
      <c r="M159" s="145">
        <v>27131.773879143453</v>
      </c>
      <c r="N159" s="145">
        <v>6302.7614186111014</v>
      </c>
      <c r="O159" s="145">
        <v>6394.7744567816171</v>
      </c>
      <c r="P159" s="145">
        <v>6451.2841810574464</v>
      </c>
      <c r="Q159" s="145">
        <v>6511.6257309944294</v>
      </c>
    </row>
    <row r="160" spans="1:17" ht="14.5" x14ac:dyDescent="0.35">
      <c r="A160" s="154" t="s">
        <v>63</v>
      </c>
      <c r="B160" s="145">
        <v>28546</v>
      </c>
      <c r="C160" s="145">
        <v>28020</v>
      </c>
      <c r="D160" s="145">
        <v>27495</v>
      </c>
      <c r="E160" s="145">
        <v>23814</v>
      </c>
      <c r="F160" s="145">
        <v>370330.6788188467</v>
      </c>
      <c r="G160" s="145">
        <v>383227.75479074125</v>
      </c>
      <c r="H160" s="145">
        <v>391548.65558737516</v>
      </c>
      <c r="I160" s="145">
        <v>419474.44489633053</v>
      </c>
      <c r="J160" s="145">
        <v>10167.416193876705</v>
      </c>
      <c r="K160" s="145">
        <v>10157.094955613611</v>
      </c>
      <c r="L160" s="145">
        <v>10086.067793873715</v>
      </c>
      <c r="M160" s="145">
        <v>9013.6261452048529</v>
      </c>
      <c r="N160" s="145">
        <v>2440.179886530409</v>
      </c>
      <c r="O160" s="145">
        <v>2437.7027893472668</v>
      </c>
      <c r="P160" s="145">
        <v>2420.6562705296915</v>
      </c>
      <c r="Q160" s="145">
        <v>2163.2702748491643</v>
      </c>
    </row>
    <row r="161" spans="1:17" ht="14.5" x14ac:dyDescent="0.35">
      <c r="A161" s="154" t="s">
        <v>65</v>
      </c>
      <c r="B161" s="145">
        <v>10636</v>
      </c>
      <c r="C161" s="145">
        <v>10414</v>
      </c>
      <c r="D161" s="145">
        <v>10192</v>
      </c>
      <c r="E161" s="145">
        <v>8637</v>
      </c>
      <c r="F161" s="145">
        <v>69941.285365255855</v>
      </c>
      <c r="G161" s="145">
        <v>73664.223684427212</v>
      </c>
      <c r="H161" s="145">
        <v>76633.107364724608</v>
      </c>
      <c r="I161" s="145">
        <v>94486.854905507513</v>
      </c>
      <c r="J161" s="145">
        <v>1920.235611349691</v>
      </c>
      <c r="K161" s="145">
        <v>1952.4016865710717</v>
      </c>
      <c r="L161" s="145">
        <v>1974.0246968191539</v>
      </c>
      <c r="M161" s="145">
        <v>2030.3243644912445</v>
      </c>
      <c r="N161" s="145">
        <v>460.85654672392582</v>
      </c>
      <c r="O161" s="145">
        <v>468.57640477705718</v>
      </c>
      <c r="P161" s="145">
        <v>473.76592723659689</v>
      </c>
      <c r="Q161" s="145">
        <v>487.27784747789872</v>
      </c>
    </row>
    <row r="162" spans="1:17" ht="14.5" x14ac:dyDescent="0.35">
      <c r="A162" s="154" t="s">
        <v>67</v>
      </c>
      <c r="B162" s="145">
        <v>21777</v>
      </c>
      <c r="C162" s="145">
        <v>21298</v>
      </c>
      <c r="D162" s="145">
        <v>20819</v>
      </c>
      <c r="E162" s="145">
        <v>17468</v>
      </c>
      <c r="F162" s="145">
        <v>143203.40084610536</v>
      </c>
      <c r="G162" s="145">
        <v>150653.02823419729</v>
      </c>
      <c r="H162" s="145">
        <v>156536.95665484708</v>
      </c>
      <c r="I162" s="145">
        <v>191096.02657049961</v>
      </c>
      <c r="J162" s="145">
        <v>3931.6445005981777</v>
      </c>
      <c r="K162" s="145">
        <v>3992.9182946601391</v>
      </c>
      <c r="L162" s="145">
        <v>4032.3018213381047</v>
      </c>
      <c r="M162" s="145">
        <v>4106.2528654547941</v>
      </c>
      <c r="N162" s="145">
        <v>943.59468014356253</v>
      </c>
      <c r="O162" s="145">
        <v>958.30039071843328</v>
      </c>
      <c r="P162" s="145">
        <v>967.75243712114514</v>
      </c>
      <c r="Q162" s="145">
        <v>985.50068770915072</v>
      </c>
    </row>
    <row r="163" spans="1:17" ht="14.5" x14ac:dyDescent="0.35">
      <c r="A163" s="154" t="s">
        <v>68</v>
      </c>
      <c r="B163" s="145">
        <v>28692</v>
      </c>
      <c r="C163" s="145">
        <v>28082</v>
      </c>
      <c r="D163" s="145">
        <v>27473</v>
      </c>
      <c r="E163" s="145">
        <v>23210</v>
      </c>
      <c r="F163" s="145">
        <v>270946.81665441883</v>
      </c>
      <c r="G163" s="145">
        <v>285319.79141229345</v>
      </c>
      <c r="H163" s="145">
        <v>296772.60032160394</v>
      </c>
      <c r="I163" s="145">
        <v>365480.05285893928</v>
      </c>
      <c r="J163" s="145">
        <v>7438.8356377005694</v>
      </c>
      <c r="K163" s="145">
        <v>7562.1355130527436</v>
      </c>
      <c r="L163" s="145">
        <v>7644.6912114091774</v>
      </c>
      <c r="M163" s="145">
        <v>7853.3998914149452</v>
      </c>
      <c r="N163" s="145">
        <v>1785.3205530481366</v>
      </c>
      <c r="O163" s="145">
        <v>1814.9125231326584</v>
      </c>
      <c r="P163" s="145">
        <v>1834.7258907382025</v>
      </c>
      <c r="Q163" s="145">
        <v>1884.8159739395865</v>
      </c>
    </row>
    <row r="164" spans="1:17" ht="14.5" x14ac:dyDescent="0.35">
      <c r="A164" s="154" t="s">
        <v>71</v>
      </c>
      <c r="B164" s="145">
        <v>32824</v>
      </c>
      <c r="C164" s="145">
        <v>33725</v>
      </c>
      <c r="D164" s="145">
        <v>34626</v>
      </c>
      <c r="E164" s="145">
        <v>40932</v>
      </c>
      <c r="F164" s="145">
        <v>425829.68547431601</v>
      </c>
      <c r="G164" s="145">
        <v>461254.67631398106</v>
      </c>
      <c r="H164" s="145">
        <v>493099.24525799055</v>
      </c>
      <c r="I164" s="145">
        <v>721001.42682861339</v>
      </c>
      <c r="J164" s="145">
        <v>11691.139534358894</v>
      </c>
      <c r="K164" s="145">
        <v>12225.125887868275</v>
      </c>
      <c r="L164" s="145">
        <v>12701.952479747999</v>
      </c>
      <c r="M164" s="145">
        <v>15492.808657744394</v>
      </c>
      <c r="N164" s="145">
        <v>2805.8734882461345</v>
      </c>
      <c r="O164" s="145">
        <v>2934.0302130883861</v>
      </c>
      <c r="P164" s="145">
        <v>3048.4685951395199</v>
      </c>
      <c r="Q164" s="145">
        <v>3718.2740778586544</v>
      </c>
    </row>
    <row r="165" spans="1:17" ht="14.5" x14ac:dyDescent="0.35">
      <c r="A165" s="154" t="s">
        <v>76</v>
      </c>
      <c r="B165" s="145">
        <v>57617</v>
      </c>
      <c r="C165" s="145">
        <v>57084</v>
      </c>
      <c r="D165" s="145">
        <v>56553</v>
      </c>
      <c r="E165" s="145">
        <v>52825</v>
      </c>
      <c r="F165" s="145">
        <v>747472.24555123283</v>
      </c>
      <c r="G165" s="145">
        <v>780734.2310661911</v>
      </c>
      <c r="H165" s="145">
        <v>805355.55989935715</v>
      </c>
      <c r="I165" s="145">
        <v>930492.04466484673</v>
      </c>
      <c r="J165" s="145">
        <v>20521.825083815391</v>
      </c>
      <c r="K165" s="145">
        <v>20692.634134412827</v>
      </c>
      <c r="L165" s="145">
        <v>20745.495251752691</v>
      </c>
      <c r="M165" s="145">
        <v>19994.322714388436</v>
      </c>
      <c r="N165" s="145">
        <v>4925.2380201156939</v>
      </c>
      <c r="O165" s="145">
        <v>4966.2321922590791</v>
      </c>
      <c r="P165" s="145">
        <v>4978.9188604206447</v>
      </c>
      <c r="Q165" s="145">
        <v>4798.6374514532254</v>
      </c>
    </row>
    <row r="166" spans="1:17" ht="14.5" x14ac:dyDescent="0.35">
      <c r="A166" s="154" t="s">
        <v>77</v>
      </c>
      <c r="B166" s="145">
        <v>19705</v>
      </c>
      <c r="C166" s="145">
        <v>19494</v>
      </c>
      <c r="D166" s="145">
        <v>19283</v>
      </c>
      <c r="E166" s="145">
        <v>17804</v>
      </c>
      <c r="F166" s="145">
        <v>255635.32635484391</v>
      </c>
      <c r="G166" s="145">
        <v>266618.1959989547</v>
      </c>
      <c r="H166" s="145">
        <v>274603.84526973468</v>
      </c>
      <c r="I166" s="145">
        <v>313610.60791695089</v>
      </c>
      <c r="J166" s="145">
        <v>7018.4591921929677</v>
      </c>
      <c r="K166" s="145">
        <v>7066.4671329311832</v>
      </c>
      <c r="L166" s="145">
        <v>7073.6368528556777</v>
      </c>
      <c r="M166" s="145">
        <v>6738.834294500175</v>
      </c>
      <c r="N166" s="145">
        <v>1684.4302061263122</v>
      </c>
      <c r="O166" s="145">
        <v>1695.9521119034841</v>
      </c>
      <c r="P166" s="145">
        <v>1697.6728446853629</v>
      </c>
      <c r="Q166" s="145">
        <v>1617.320230680042</v>
      </c>
    </row>
    <row r="167" spans="1:17" ht="14.5" x14ac:dyDescent="0.35">
      <c r="A167" s="154" t="s">
        <v>82</v>
      </c>
      <c r="B167" s="145">
        <v>18210</v>
      </c>
      <c r="C167" s="145">
        <v>17826</v>
      </c>
      <c r="D167" s="145">
        <v>17444</v>
      </c>
      <c r="E167" s="145">
        <v>14762</v>
      </c>
      <c r="F167" s="145">
        <v>119747.16119794181</v>
      </c>
      <c r="G167" s="145">
        <v>126093.57128851544</v>
      </c>
      <c r="H167" s="145">
        <v>131160.5106819325</v>
      </c>
      <c r="I167" s="145">
        <v>161492.98970882272</v>
      </c>
      <c r="J167" s="145">
        <v>3287.6542386872766</v>
      </c>
      <c r="K167" s="145">
        <v>3341.9927467655007</v>
      </c>
      <c r="L167" s="145">
        <v>3378.6191926327824</v>
      </c>
      <c r="M167" s="145">
        <v>3470.145683526659</v>
      </c>
      <c r="N167" s="145">
        <v>789.03701728494627</v>
      </c>
      <c r="O167" s="145">
        <v>802.07825922372012</v>
      </c>
      <c r="P167" s="145">
        <v>810.86860623186783</v>
      </c>
      <c r="Q167" s="145">
        <v>832.83496404639811</v>
      </c>
    </row>
    <row r="168" spans="1:17" ht="14.5" x14ac:dyDescent="0.35">
      <c r="A168" s="154" t="s">
        <v>7</v>
      </c>
      <c r="B168" s="145">
        <v>26839</v>
      </c>
      <c r="C168" s="145">
        <v>26264</v>
      </c>
      <c r="D168" s="145">
        <v>25689</v>
      </c>
      <c r="E168" s="145">
        <v>21662</v>
      </c>
      <c r="F168" s="145">
        <v>301295.35124424868</v>
      </c>
      <c r="G168" s="145">
        <v>316661.41415770532</v>
      </c>
      <c r="H168" s="145">
        <v>328694.54789569811</v>
      </c>
      <c r="I168" s="145">
        <v>397720.40295379469</v>
      </c>
      <c r="J168" s="145">
        <v>8272.0536228624296</v>
      </c>
      <c r="K168" s="145">
        <v>8392.8160530412806</v>
      </c>
      <c r="L168" s="145">
        <v>8466.9821904493256</v>
      </c>
      <c r="M168" s="145">
        <v>8546.1774040411692</v>
      </c>
      <c r="N168" s="145">
        <v>1985.2928694869831</v>
      </c>
      <c r="O168" s="145">
        <v>2014.2758527299075</v>
      </c>
      <c r="P168" s="145">
        <v>2032.075725707838</v>
      </c>
      <c r="Q168" s="145">
        <v>2051.0825769698804</v>
      </c>
    </row>
    <row r="169" spans="1:17" ht="14.5" x14ac:dyDescent="0.35">
      <c r="A169" s="154" t="s">
        <v>86</v>
      </c>
      <c r="B169" s="145">
        <v>29643</v>
      </c>
      <c r="C169" s="145">
        <v>29116</v>
      </c>
      <c r="D169" s="145">
        <v>28588</v>
      </c>
      <c r="E169" s="145">
        <v>24898</v>
      </c>
      <c r="F169" s="145">
        <v>194929.43983473856</v>
      </c>
      <c r="G169" s="145">
        <v>205954.24781983701</v>
      </c>
      <c r="H169" s="145">
        <v>214951.65554775775</v>
      </c>
      <c r="I169" s="145">
        <v>272378.57050333748</v>
      </c>
      <c r="J169" s="145">
        <v>5351.7811420871458</v>
      </c>
      <c r="K169" s="145">
        <v>5458.625648761602</v>
      </c>
      <c r="L169" s="145">
        <v>5537.0308116822962</v>
      </c>
      <c r="M169" s="145">
        <v>5852.8442777704067</v>
      </c>
      <c r="N169" s="145">
        <v>1284.4274741009151</v>
      </c>
      <c r="O169" s="145">
        <v>1310.0701557027846</v>
      </c>
      <c r="P169" s="145">
        <v>1328.887394803751</v>
      </c>
      <c r="Q169" s="145">
        <v>1404.6826266648977</v>
      </c>
    </row>
    <row r="170" spans="1:17" ht="14.5" x14ac:dyDescent="0.35">
      <c r="A170" s="154" t="s">
        <v>1</v>
      </c>
      <c r="B170" s="145">
        <v>614618</v>
      </c>
      <c r="C170" s="145">
        <v>615772</v>
      </c>
      <c r="D170" s="145">
        <v>616925</v>
      </c>
      <c r="E170" s="145">
        <v>625000</v>
      </c>
      <c r="F170" s="145">
        <v>17476089.690851513</v>
      </c>
      <c r="G170" s="145">
        <v>18367370.265084941</v>
      </c>
      <c r="H170" s="145">
        <v>19065330.335158169</v>
      </c>
      <c r="I170" s="145">
        <v>23069049.705541383</v>
      </c>
      <c r="J170" s="145">
        <v>479805.44818789844</v>
      </c>
      <c r="K170" s="145">
        <v>486810.05364355963</v>
      </c>
      <c r="L170" s="145">
        <v>491111.92575680139</v>
      </c>
      <c r="M170" s="145">
        <v>495705.50030118669</v>
      </c>
      <c r="N170" s="145">
        <v>115153.30756509562</v>
      </c>
      <c r="O170" s="145">
        <v>116834.41287445431</v>
      </c>
      <c r="P170" s="145">
        <v>117866.86218163234</v>
      </c>
      <c r="Q170" s="145">
        <v>118969.3200722848</v>
      </c>
    </row>
    <row r="171" spans="1:17" ht="14.5" x14ac:dyDescent="0.35">
      <c r="A171" s="154" t="s">
        <v>89</v>
      </c>
      <c r="B171" s="145">
        <v>28462</v>
      </c>
      <c r="C171" s="145">
        <v>28411</v>
      </c>
      <c r="D171" s="145">
        <v>28360</v>
      </c>
      <c r="E171" s="145">
        <v>28000</v>
      </c>
      <c r="F171" s="145">
        <v>369240.93675268046</v>
      </c>
      <c r="G171" s="145">
        <v>388575.43687936303</v>
      </c>
      <c r="H171" s="145">
        <v>403866.88024942565</v>
      </c>
      <c r="I171" s="145">
        <v>493209.2238639982</v>
      </c>
      <c r="J171" s="145">
        <v>10137.497362506787</v>
      </c>
      <c r="K171" s="145">
        <v>10298.830292074887</v>
      </c>
      <c r="L171" s="145">
        <v>10403.378164548412</v>
      </c>
      <c r="M171" s="145">
        <v>10598.031916760554</v>
      </c>
      <c r="N171" s="145">
        <v>2432.9993670016293</v>
      </c>
      <c r="O171" s="145">
        <v>2471.7192700979726</v>
      </c>
      <c r="P171" s="145">
        <v>2496.8107594916191</v>
      </c>
      <c r="Q171" s="145">
        <v>2543.5276600225329</v>
      </c>
    </row>
    <row r="172" spans="1:17" ht="14.5" x14ac:dyDescent="0.35">
      <c r="A172" s="154" t="s">
        <v>96</v>
      </c>
      <c r="B172" s="145">
        <v>22868</v>
      </c>
      <c r="C172" s="145">
        <v>23017</v>
      </c>
      <c r="D172" s="145">
        <v>23165</v>
      </c>
      <c r="E172" s="145">
        <v>24205</v>
      </c>
      <c r="F172" s="145">
        <v>296669.30439393915</v>
      </c>
      <c r="G172" s="145">
        <v>314802.0425417021</v>
      </c>
      <c r="H172" s="145">
        <v>329886.32866635913</v>
      </c>
      <c r="I172" s="145">
        <v>426361.75941528846</v>
      </c>
      <c r="J172" s="145">
        <v>8145.0456638959049</v>
      </c>
      <c r="K172" s="145">
        <v>8343.535138949268</v>
      </c>
      <c r="L172" s="145">
        <v>8497.6817765078958</v>
      </c>
      <c r="M172" s="145">
        <v>9161.6200908996143</v>
      </c>
      <c r="N172" s="145">
        <v>1954.8109593350173</v>
      </c>
      <c r="O172" s="145">
        <v>2002.4484333478244</v>
      </c>
      <c r="P172" s="145">
        <v>2039.443626361895</v>
      </c>
      <c r="Q172" s="145">
        <v>2198.7888218159073</v>
      </c>
    </row>
    <row r="173" spans="1:17" ht="14.5" x14ac:dyDescent="0.35">
      <c r="A173" s="154" t="s">
        <v>97</v>
      </c>
      <c r="B173" s="145">
        <v>27110</v>
      </c>
      <c r="C173" s="145">
        <v>26552</v>
      </c>
      <c r="D173" s="145">
        <v>25994</v>
      </c>
      <c r="E173" s="145">
        <v>22089</v>
      </c>
      <c r="F173" s="145">
        <v>259745.39487400628</v>
      </c>
      <c r="G173" s="145">
        <v>272228.40014502569</v>
      </c>
      <c r="H173" s="145">
        <v>281748.53525657777</v>
      </c>
      <c r="I173" s="145">
        <v>332810.5993809927</v>
      </c>
      <c r="J173" s="145">
        <v>7131.3009836236897</v>
      </c>
      <c r="K173" s="145">
        <v>7215.1603721855672</v>
      </c>
      <c r="L173" s="145">
        <v>7257.6799508083641</v>
      </c>
      <c r="M173" s="145">
        <v>7151.4018469544562</v>
      </c>
      <c r="N173" s="145">
        <v>1711.5122360696855</v>
      </c>
      <c r="O173" s="145">
        <v>1731.6384893245363</v>
      </c>
      <c r="P173" s="145">
        <v>1741.8431881940073</v>
      </c>
      <c r="Q173" s="145">
        <v>1716.3364432690694</v>
      </c>
    </row>
    <row r="174" spans="1:17" ht="14.5" x14ac:dyDescent="0.35">
      <c r="A174" s="154" t="s">
        <v>98</v>
      </c>
      <c r="B174" s="145">
        <v>9230</v>
      </c>
      <c r="C174" s="145">
        <v>9086</v>
      </c>
      <c r="D174" s="145">
        <v>8943</v>
      </c>
      <c r="E174" s="145">
        <v>7937</v>
      </c>
      <c r="F174" s="145">
        <v>119741.89607993957</v>
      </c>
      <c r="G174" s="145">
        <v>124268.6431130862</v>
      </c>
      <c r="H174" s="145">
        <v>127354.77821123462</v>
      </c>
      <c r="I174" s="145">
        <v>139807.2003503055</v>
      </c>
      <c r="J174" s="145">
        <v>3287.5096850515652</v>
      </c>
      <c r="K174" s="145">
        <v>3293.6247240080397</v>
      </c>
      <c r="L174" s="145">
        <v>3280.5857166980413</v>
      </c>
      <c r="M174" s="145">
        <v>3004.1635472617331</v>
      </c>
      <c r="N174" s="145">
        <v>789.00232441237563</v>
      </c>
      <c r="O174" s="145">
        <v>790.4699337619295</v>
      </c>
      <c r="P174" s="145">
        <v>787.34057200752977</v>
      </c>
      <c r="Q174" s="145">
        <v>720.99925134281591</v>
      </c>
    </row>
    <row r="175" spans="1:17" ht="14.5" x14ac:dyDescent="0.35">
      <c r="A175" s="154" t="s">
        <v>100</v>
      </c>
      <c r="B175" s="145">
        <v>33860</v>
      </c>
      <c r="C175" s="145">
        <v>33709</v>
      </c>
      <c r="D175" s="145">
        <v>33557</v>
      </c>
      <c r="E175" s="145">
        <v>32495</v>
      </c>
      <c r="F175" s="145">
        <v>439269.83762370032</v>
      </c>
      <c r="G175" s="145">
        <v>461035.84533337253</v>
      </c>
      <c r="H175" s="145">
        <v>477875.91327679751</v>
      </c>
      <c r="I175" s="145">
        <v>572386.91890930803</v>
      </c>
      <c r="J175" s="145">
        <v>12060.138454587866</v>
      </c>
      <c r="K175" s="145">
        <v>12219.325976401828</v>
      </c>
      <c r="L175" s="145">
        <v>12309.808218185863</v>
      </c>
      <c r="M175" s="145">
        <v>12299.394540540508</v>
      </c>
      <c r="N175" s="145">
        <v>2894.4332291010878</v>
      </c>
      <c r="O175" s="145">
        <v>2932.6382343364389</v>
      </c>
      <c r="P175" s="145">
        <v>2954.3539723646072</v>
      </c>
      <c r="Q175" s="145">
        <v>2951.8546897297219</v>
      </c>
    </row>
    <row r="176" spans="1:17" ht="14.5" x14ac:dyDescent="0.35">
      <c r="A176" s="154" t="s">
        <v>103</v>
      </c>
      <c r="B176" s="145">
        <v>18155</v>
      </c>
      <c r="C176" s="145">
        <v>17767</v>
      </c>
      <c r="D176" s="145">
        <v>17378</v>
      </c>
      <c r="E176" s="145">
        <v>14660</v>
      </c>
      <c r="F176" s="145">
        <v>171442.89196852691</v>
      </c>
      <c r="G176" s="145">
        <v>180516.94088819236</v>
      </c>
      <c r="H176" s="145">
        <v>187723.00980558488</v>
      </c>
      <c r="I176" s="145">
        <v>230846.08250375054</v>
      </c>
      <c r="J176" s="145">
        <v>4706.9587690803655</v>
      </c>
      <c r="K176" s="145">
        <v>4784.4335040384631</v>
      </c>
      <c r="L176" s="145">
        <v>4835.6365839867758</v>
      </c>
      <c r="M176" s="145">
        <v>4960.3982080199521</v>
      </c>
      <c r="N176" s="145">
        <v>1129.6701045792877</v>
      </c>
      <c r="O176" s="145">
        <v>1148.264040969231</v>
      </c>
      <c r="P176" s="145">
        <v>1160.5527801568262</v>
      </c>
      <c r="Q176" s="145">
        <v>1190.4955699247887</v>
      </c>
    </row>
    <row r="177" spans="1:17" ht="14.5" x14ac:dyDescent="0.35">
      <c r="A177" s="154" t="s">
        <v>106</v>
      </c>
      <c r="B177" s="145">
        <v>35699</v>
      </c>
      <c r="C177" s="145">
        <v>35066</v>
      </c>
      <c r="D177" s="145">
        <v>34432</v>
      </c>
      <c r="E177" s="145">
        <v>29994</v>
      </c>
      <c r="F177" s="145">
        <v>342038.02477341017</v>
      </c>
      <c r="G177" s="145">
        <v>359519.4742198505</v>
      </c>
      <c r="H177" s="145">
        <v>373207.8774315028</v>
      </c>
      <c r="I177" s="145">
        <v>451913.67277076794</v>
      </c>
      <c r="J177" s="145">
        <v>9390.6423391509452</v>
      </c>
      <c r="K177" s="145">
        <v>9528.7290453095466</v>
      </c>
      <c r="L177" s="145">
        <v>9613.6199148354845</v>
      </c>
      <c r="M177" s="145">
        <v>9710.6771242497143</v>
      </c>
      <c r="N177" s="145">
        <v>2253.7541613962271</v>
      </c>
      <c r="O177" s="145">
        <v>2286.8949708742912</v>
      </c>
      <c r="P177" s="145">
        <v>2307.2687795605161</v>
      </c>
      <c r="Q177" s="145">
        <v>2330.5625098199316</v>
      </c>
    </row>
    <row r="178" spans="1:17" ht="14.5" x14ac:dyDescent="0.35">
      <c r="A178" s="154" t="s">
        <v>108</v>
      </c>
      <c r="B178" s="145">
        <v>44411</v>
      </c>
      <c r="C178" s="145">
        <v>43702</v>
      </c>
      <c r="D178" s="145">
        <v>42994</v>
      </c>
      <c r="E178" s="145">
        <v>38032</v>
      </c>
      <c r="F178" s="145">
        <v>576149.22500608838</v>
      </c>
      <c r="G178" s="145">
        <v>597709.46965970658</v>
      </c>
      <c r="H178" s="145">
        <v>612265.60823144601</v>
      </c>
      <c r="I178" s="145">
        <v>669919.0429284136</v>
      </c>
      <c r="J178" s="145">
        <v>15818.157380587763</v>
      </c>
      <c r="K178" s="145">
        <v>15841.733181664027</v>
      </c>
      <c r="L178" s="145">
        <v>15771.609337327023</v>
      </c>
      <c r="M178" s="145">
        <v>14395.155352079906</v>
      </c>
      <c r="N178" s="145">
        <v>3796.3577713410637</v>
      </c>
      <c r="O178" s="145">
        <v>3802.0159635993668</v>
      </c>
      <c r="P178" s="145">
        <v>3785.1862409584855</v>
      </c>
      <c r="Q178" s="145">
        <v>3454.8372844991777</v>
      </c>
    </row>
    <row r="179" spans="1:17" ht="14.5" x14ac:dyDescent="0.35">
      <c r="A179" s="154" t="s">
        <v>110</v>
      </c>
      <c r="B179" s="145">
        <v>7596</v>
      </c>
      <c r="C179" s="145">
        <v>7345</v>
      </c>
      <c r="D179" s="145">
        <v>7094</v>
      </c>
      <c r="E179" s="145">
        <v>5339</v>
      </c>
      <c r="F179" s="145">
        <v>71731.214948660447</v>
      </c>
      <c r="G179" s="145">
        <v>74626.944944209652</v>
      </c>
      <c r="H179" s="145">
        <v>76631.777624629933</v>
      </c>
      <c r="I179" s="145">
        <v>84071.434821795643</v>
      </c>
      <c r="J179" s="145">
        <v>1969.3780671955085</v>
      </c>
      <c r="K179" s="145">
        <v>1977.9177175191371</v>
      </c>
      <c r="L179" s="145">
        <v>1973.990443480388</v>
      </c>
      <c r="M179" s="145">
        <v>1806.5188289644288</v>
      </c>
      <c r="N179" s="145">
        <v>472.65073612692203</v>
      </c>
      <c r="O179" s="145">
        <v>474.70025220459291</v>
      </c>
      <c r="P179" s="145">
        <v>473.75770643529313</v>
      </c>
      <c r="Q179" s="145">
        <v>433.5645189514629</v>
      </c>
    </row>
    <row r="180" spans="1:17" ht="14.5" x14ac:dyDescent="0.35">
      <c r="A180" s="154" t="s">
        <v>442</v>
      </c>
      <c r="B180" s="145">
        <v>51370</v>
      </c>
      <c r="C180" s="145">
        <v>50771</v>
      </c>
      <c r="D180" s="145">
        <v>50174</v>
      </c>
      <c r="E180" s="145">
        <v>45985</v>
      </c>
      <c r="F180" s="145">
        <v>684422.98120794341</v>
      </c>
      <c r="G180" s="145">
        <v>719895.56705911912</v>
      </c>
      <c r="H180" s="145">
        <v>747886.51355202484</v>
      </c>
      <c r="I180" s="145">
        <v>911392.43706280657</v>
      </c>
      <c r="J180" s="145">
        <v>18790.809675260614</v>
      </c>
      <c r="K180" s="145">
        <v>19080.161969838198</v>
      </c>
      <c r="L180" s="145">
        <v>19265.125726185219</v>
      </c>
      <c r="M180" s="145">
        <v>19583.912200614595</v>
      </c>
      <c r="N180" s="145">
        <v>4509.7943220625466</v>
      </c>
      <c r="O180" s="145">
        <v>4579.2388727611669</v>
      </c>
      <c r="P180" s="145">
        <v>4623.6301742844535</v>
      </c>
      <c r="Q180" s="145">
        <v>4700.1389281475012</v>
      </c>
    </row>
    <row r="181" spans="1:17" ht="14.5" x14ac:dyDescent="0.35">
      <c r="A181" s="154" t="s">
        <v>111</v>
      </c>
      <c r="B181" s="145">
        <v>2945</v>
      </c>
      <c r="C181" s="145">
        <v>2880</v>
      </c>
      <c r="D181" s="145">
        <v>2815</v>
      </c>
      <c r="E181" s="145">
        <v>2362</v>
      </c>
      <c r="F181" s="145">
        <v>27810.482888863218</v>
      </c>
      <c r="G181" s="145">
        <v>29261.48419868261</v>
      </c>
      <c r="H181" s="145">
        <v>30408.578237007794</v>
      </c>
      <c r="I181" s="145">
        <v>37193.618477070857</v>
      </c>
      <c r="J181" s="145">
        <v>763.53586201826909</v>
      </c>
      <c r="K181" s="145">
        <v>775.54840387407955</v>
      </c>
      <c r="L181" s="145">
        <v>783.30745677999619</v>
      </c>
      <c r="M181" s="145">
        <v>799.21286271099098</v>
      </c>
      <c r="N181" s="145">
        <v>183.2486068843846</v>
      </c>
      <c r="O181" s="145">
        <v>186.13161692977911</v>
      </c>
      <c r="P181" s="145">
        <v>187.99378962719911</v>
      </c>
      <c r="Q181" s="145">
        <v>191.81108705063784</v>
      </c>
    </row>
    <row r="182" spans="1:17" ht="14.5" x14ac:dyDescent="0.35">
      <c r="A182" s="154" t="s">
        <v>9</v>
      </c>
      <c r="B182" s="145">
        <v>33372</v>
      </c>
      <c r="C182" s="145">
        <v>32851</v>
      </c>
      <c r="D182" s="145">
        <v>32329</v>
      </c>
      <c r="E182" s="145">
        <v>28680</v>
      </c>
      <c r="F182" s="145">
        <v>501127.82880555547</v>
      </c>
      <c r="G182" s="145">
        <v>526685.34807463875</v>
      </c>
      <c r="H182" s="145">
        <v>546699.391301475</v>
      </c>
      <c r="I182" s="145">
        <v>661506.26347478468</v>
      </c>
      <c r="J182" s="145">
        <v>13758.447499004709</v>
      </c>
      <c r="K182" s="145">
        <v>13959.304943989817</v>
      </c>
      <c r="L182" s="145">
        <v>14082.661362390239</v>
      </c>
      <c r="M182" s="145">
        <v>14214.382363976156</v>
      </c>
      <c r="N182" s="145">
        <v>3302.0273997611303</v>
      </c>
      <c r="O182" s="145">
        <v>3350.2331865575566</v>
      </c>
      <c r="P182" s="145">
        <v>3379.8387269736577</v>
      </c>
      <c r="Q182" s="145">
        <v>3411.4517673542773</v>
      </c>
    </row>
    <row r="183" spans="1:17" ht="14.5" x14ac:dyDescent="0.35">
      <c r="A183" s="154" t="s">
        <v>115</v>
      </c>
      <c r="B183" s="145">
        <v>10777</v>
      </c>
      <c r="C183" s="145">
        <v>10610</v>
      </c>
      <c r="D183" s="145">
        <v>10443</v>
      </c>
      <c r="E183" s="145">
        <v>9272</v>
      </c>
      <c r="F183" s="145">
        <v>103256.21986562765</v>
      </c>
      <c r="G183" s="145">
        <v>108780.63142282021</v>
      </c>
      <c r="H183" s="145">
        <v>113191.50395031321</v>
      </c>
      <c r="I183" s="145">
        <v>139699.39234282059</v>
      </c>
      <c r="J183" s="145">
        <v>2834.8960051830509</v>
      </c>
      <c r="K183" s="145">
        <v>2883.1293894580017</v>
      </c>
      <c r="L183" s="145">
        <v>2915.7479313030603</v>
      </c>
      <c r="M183" s="145">
        <v>3001.8469792639644</v>
      </c>
      <c r="N183" s="145">
        <v>680.37504124393229</v>
      </c>
      <c r="O183" s="145">
        <v>691.95105346992034</v>
      </c>
      <c r="P183" s="145">
        <v>699.77950351273444</v>
      </c>
      <c r="Q183" s="145">
        <v>720.44327502335148</v>
      </c>
    </row>
    <row r="184" spans="1:17" ht="14.5" x14ac:dyDescent="0.35">
      <c r="A184" s="154" t="s">
        <v>317</v>
      </c>
      <c r="B184" s="145">
        <v>1893223</v>
      </c>
      <c r="C184" s="145">
        <v>1876426</v>
      </c>
      <c r="D184" s="145">
        <v>1859631</v>
      </c>
      <c r="E184" s="145">
        <v>1742028</v>
      </c>
      <c r="F184" s="145">
        <v>31021103.526241113</v>
      </c>
      <c r="G184" s="145">
        <v>32603179.80607941</v>
      </c>
      <c r="H184" s="145">
        <v>33842100.638710432</v>
      </c>
      <c r="I184" s="145">
        <v>40948941.772839621</v>
      </c>
      <c r="J184" s="145">
        <v>851683.34244032437</v>
      </c>
      <c r="K184" s="145">
        <v>864116.93570085173</v>
      </c>
      <c r="L184" s="145">
        <v>871753.01577037585</v>
      </c>
      <c r="M184" s="145">
        <v>879906.8850865463</v>
      </c>
      <c r="N184" s="145">
        <v>204404.00218567793</v>
      </c>
      <c r="O184" s="145">
        <v>207388.06456820443</v>
      </c>
      <c r="P184" s="145">
        <v>209220.72378489008</v>
      </c>
      <c r="Q184" s="145">
        <v>211177.65242077105</v>
      </c>
    </row>
    <row r="185" spans="1:17" ht="14.5" x14ac:dyDescent="0.35">
      <c r="A185" s="4"/>
      <c r="B185" s="4"/>
      <c r="C185" s="4"/>
      <c r="D185" s="4"/>
      <c r="E185" s="4"/>
      <c r="F185" s="4"/>
      <c r="G185" s="4"/>
      <c r="H185" s="4"/>
      <c r="I185" s="4"/>
      <c r="J185" s="4"/>
      <c r="K185" s="4"/>
      <c r="L185" s="4"/>
      <c r="M185" s="4"/>
      <c r="N185" s="4"/>
      <c r="O185" s="4"/>
      <c r="P185" s="4"/>
      <c r="Q185" s="4"/>
    </row>
    <row r="188" spans="1:17" ht="14.5" x14ac:dyDescent="0.35">
      <c r="A188" s="153" t="s">
        <v>316</v>
      </c>
      <c r="B188" t="s">
        <v>453</v>
      </c>
      <c r="C188" t="s">
        <v>454</v>
      </c>
      <c r="D188" t="s">
        <v>455</v>
      </c>
      <c r="E188" t="s">
        <v>489</v>
      </c>
      <c r="F188" t="s">
        <v>490</v>
      </c>
      <c r="G188" t="s">
        <v>491</v>
      </c>
      <c r="H188" t="s">
        <v>492</v>
      </c>
      <c r="I188" t="s">
        <v>493</v>
      </c>
      <c r="J188" t="s">
        <v>456</v>
      </c>
      <c r="K188" t="s">
        <v>457</v>
      </c>
      <c r="L188" t="s">
        <v>458</v>
      </c>
      <c r="M188" t="s">
        <v>494</v>
      </c>
      <c r="N188" t="s">
        <v>459</v>
      </c>
      <c r="O188" t="s">
        <v>460</v>
      </c>
      <c r="P188" t="s">
        <v>461</v>
      </c>
      <c r="Q188" t="s">
        <v>495</v>
      </c>
    </row>
    <row r="189" spans="1:17" ht="14.5" x14ac:dyDescent="0.35">
      <c r="A189" s="154" t="s">
        <v>176</v>
      </c>
      <c r="B189" s="145">
        <v>128438</v>
      </c>
      <c r="C189" s="145">
        <v>126090</v>
      </c>
      <c r="D189" s="145">
        <v>123742</v>
      </c>
      <c r="E189" s="145">
        <v>107301</v>
      </c>
      <c r="F189" s="145">
        <v>1535941.6638039346</v>
      </c>
      <c r="G189" s="145">
        <v>1613449.3271545584</v>
      </c>
      <c r="H189" s="145">
        <v>1673856.2960405622</v>
      </c>
      <c r="I189" s="145">
        <v>2016505.8037370911</v>
      </c>
      <c r="J189" s="145">
        <v>42169.226150040748</v>
      </c>
      <c r="K189" s="145">
        <v>42762.972715606855</v>
      </c>
      <c r="L189" s="145">
        <v>43117.573865095423</v>
      </c>
      <c r="M189" s="145">
        <v>43330.480928376965</v>
      </c>
      <c r="N189" s="145">
        <v>10120.614276009781</v>
      </c>
      <c r="O189" s="145">
        <v>10263.113451745645</v>
      </c>
      <c r="P189" s="145">
        <v>10348.217727622903</v>
      </c>
      <c r="Q189" s="145">
        <v>10399.315422810472</v>
      </c>
    </row>
    <row r="190" spans="1:17" ht="14.5" x14ac:dyDescent="0.35">
      <c r="A190" s="154" t="s">
        <v>437</v>
      </c>
      <c r="B190" s="145">
        <v>277188</v>
      </c>
      <c r="C190" s="145">
        <v>271430</v>
      </c>
      <c r="D190" s="145">
        <v>265673</v>
      </c>
      <c r="E190" s="145">
        <v>225369</v>
      </c>
      <c r="F190" s="145">
        <v>2309519.1817073133</v>
      </c>
      <c r="G190" s="145">
        <v>2426974.0352366185</v>
      </c>
      <c r="H190" s="145">
        <v>2518857.0308188908</v>
      </c>
      <c r="I190" s="145">
        <v>3044584.5961754136</v>
      </c>
      <c r="J190" s="145">
        <v>63407.77059857452</v>
      </c>
      <c r="K190" s="145">
        <v>64324.687923941121</v>
      </c>
      <c r="L190" s="145">
        <v>64884.30598185394</v>
      </c>
      <c r="M190" s="145">
        <v>65421.738204235298</v>
      </c>
      <c r="N190" s="145">
        <v>15217.864943657885</v>
      </c>
      <c r="O190" s="145">
        <v>15437.925101745865</v>
      </c>
      <c r="P190" s="145">
        <v>15572.233435644939</v>
      </c>
      <c r="Q190" s="145">
        <v>15701.217169016474</v>
      </c>
    </row>
    <row r="191" spans="1:17" ht="14.5" x14ac:dyDescent="0.35">
      <c r="A191" s="154" t="s">
        <v>438</v>
      </c>
      <c r="B191" s="145">
        <v>1048109</v>
      </c>
      <c r="C191" s="145">
        <v>1047089</v>
      </c>
      <c r="D191" s="145">
        <v>1046064</v>
      </c>
      <c r="E191" s="145">
        <v>1038896</v>
      </c>
      <c r="F191" s="145">
        <v>22419698.782231353</v>
      </c>
      <c r="G191" s="145">
        <v>23578978.072754662</v>
      </c>
      <c r="H191" s="145">
        <v>24491519.565952044</v>
      </c>
      <c r="I191" s="145">
        <v>29779274.824406702</v>
      </c>
      <c r="J191" s="145">
        <v>615532.06768430513</v>
      </c>
      <c r="K191" s="145">
        <v>624938.86793787719</v>
      </c>
      <c r="L191" s="145">
        <v>630887.43427457113</v>
      </c>
      <c r="M191" s="145">
        <v>639894.16616034938</v>
      </c>
      <c r="N191" s="145">
        <v>147727.69624423311</v>
      </c>
      <c r="O191" s="145">
        <v>149985.32830509054</v>
      </c>
      <c r="P191" s="145">
        <v>151412.98422589712</v>
      </c>
      <c r="Q191" s="145">
        <v>153574.59987848389</v>
      </c>
    </row>
    <row r="192" spans="1:17" ht="14.5" x14ac:dyDescent="0.35">
      <c r="A192" s="154" t="s">
        <v>439</v>
      </c>
      <c r="B192" s="145">
        <v>237245</v>
      </c>
      <c r="C192" s="145">
        <v>232474</v>
      </c>
      <c r="D192" s="145">
        <v>227707</v>
      </c>
      <c r="E192" s="145">
        <v>194321</v>
      </c>
      <c r="F192" s="145">
        <v>2518513.6940936111</v>
      </c>
      <c r="G192" s="145">
        <v>2639237.2304223422</v>
      </c>
      <c r="H192" s="145">
        <v>2731486.7577777226</v>
      </c>
      <c r="I192" s="145">
        <v>3234717.5814534016</v>
      </c>
      <c r="J192" s="145">
        <v>69145.707829281921</v>
      </c>
      <c r="K192" s="145">
        <v>69950.526350650587</v>
      </c>
      <c r="L192" s="145">
        <v>70361.525250765568</v>
      </c>
      <c r="M192" s="145">
        <v>69507.297331898182</v>
      </c>
      <c r="N192" s="145">
        <v>16594.969879027663</v>
      </c>
      <c r="O192" s="145">
        <v>16788.126324156139</v>
      </c>
      <c r="P192" s="145">
        <v>16886.766060183742</v>
      </c>
      <c r="Q192" s="145">
        <v>16681.751359655565</v>
      </c>
    </row>
    <row r="193" spans="1:17" ht="14.5" x14ac:dyDescent="0.35">
      <c r="A193" s="154" t="s">
        <v>440</v>
      </c>
      <c r="B193" s="145">
        <v>202243</v>
      </c>
      <c r="C193" s="145">
        <v>199343</v>
      </c>
      <c r="D193" s="145">
        <v>196445</v>
      </c>
      <c r="E193" s="145">
        <v>176141</v>
      </c>
      <c r="F193" s="145">
        <v>2237430.2044049031</v>
      </c>
      <c r="G193" s="145">
        <v>2344541.1405112366</v>
      </c>
      <c r="H193" s="145">
        <v>2426380.9881212045</v>
      </c>
      <c r="I193" s="145">
        <v>2873858.9670670112</v>
      </c>
      <c r="J193" s="145">
        <v>61428.570178122522</v>
      </c>
      <c r="K193" s="145">
        <v>62139.880772775912</v>
      </c>
      <c r="L193" s="145">
        <v>62502.176398089119</v>
      </c>
      <c r="M193" s="145">
        <v>61753.2024616864</v>
      </c>
      <c r="N193" s="145">
        <v>14742.856842749406</v>
      </c>
      <c r="O193" s="145">
        <v>14913.571385466219</v>
      </c>
      <c r="P193" s="145">
        <v>15000.522335541385</v>
      </c>
      <c r="Q193" s="145">
        <v>14820.768590804733</v>
      </c>
    </row>
    <row r="194" spans="1:17" ht="14.5" x14ac:dyDescent="0.35">
      <c r="A194" s="154" t="s">
        <v>317</v>
      </c>
      <c r="B194" s="145">
        <v>1893223</v>
      </c>
      <c r="C194" s="145">
        <v>1876426</v>
      </c>
      <c r="D194" s="145">
        <v>1859631</v>
      </c>
      <c r="E194" s="145">
        <v>1742028</v>
      </c>
      <c r="F194" s="145">
        <v>31021103.526241113</v>
      </c>
      <c r="G194" s="145">
        <v>32603179.806079417</v>
      </c>
      <c r="H194" s="145">
        <v>33842100.638710424</v>
      </c>
      <c r="I194" s="145">
        <v>40948941.772839613</v>
      </c>
      <c r="J194" s="145">
        <v>851683.34244032484</v>
      </c>
      <c r="K194" s="145">
        <v>864116.93570085173</v>
      </c>
      <c r="L194" s="145">
        <v>871753.01577037526</v>
      </c>
      <c r="M194" s="145">
        <v>879906.88508654619</v>
      </c>
      <c r="N194" s="145">
        <v>204404.00218567785</v>
      </c>
      <c r="O194" s="145">
        <v>207388.06456820443</v>
      </c>
      <c r="P194" s="145">
        <v>209220.72378489008</v>
      </c>
      <c r="Q194" s="145">
        <v>211177.65242077116</v>
      </c>
    </row>
    <row r="195" spans="1:17" ht="14.5" x14ac:dyDescent="0.35">
      <c r="A195" s="4"/>
      <c r="B195" s="4"/>
      <c r="C195" s="4"/>
      <c r="D195" s="4"/>
      <c r="E195" s="4"/>
      <c r="F195" s="4"/>
      <c r="G195" s="4"/>
      <c r="H195" s="4"/>
      <c r="I195" s="4"/>
      <c r="J195" s="4"/>
      <c r="K195" s="4"/>
      <c r="L195" s="4"/>
      <c r="M195" s="4"/>
      <c r="N195" s="4"/>
      <c r="O195" s="4"/>
      <c r="P195" s="4"/>
      <c r="Q195" s="4"/>
    </row>
    <row r="196" spans="1:17" ht="14.5" x14ac:dyDescent="0.35">
      <c r="A196" s="4"/>
      <c r="B196" s="4"/>
      <c r="C196" s="4"/>
      <c r="D196" s="4"/>
      <c r="E196" s="4"/>
      <c r="F196" s="4"/>
      <c r="G196" s="4"/>
      <c r="H196" s="4"/>
      <c r="I196" s="4"/>
      <c r="J196" s="4"/>
      <c r="K196" s="4"/>
      <c r="L196" s="4"/>
      <c r="M196" s="4"/>
      <c r="N196" s="4"/>
      <c r="O196" s="4"/>
      <c r="P196" s="4"/>
      <c r="Q196" s="4"/>
    </row>
    <row r="197" spans="1:17" s="4" customFormat="1" ht="66" customHeight="1" x14ac:dyDescent="0.35">
      <c r="B197" s="265" t="s">
        <v>529</v>
      </c>
      <c r="C197" s="266"/>
      <c r="D197" s="267"/>
    </row>
    <row r="198" spans="1:17" s="4" customFormat="1" ht="14.5" x14ac:dyDescent="0.35">
      <c r="B198" s="189" t="s">
        <v>433</v>
      </c>
      <c r="C198" s="189" t="s">
        <v>434</v>
      </c>
      <c r="D198" s="189" t="s">
        <v>463</v>
      </c>
    </row>
    <row r="199" spans="1:17" s="4" customFormat="1" ht="14.5" x14ac:dyDescent="0.35">
      <c r="B199" s="3" t="s">
        <v>432</v>
      </c>
      <c r="C199" s="188" t="s">
        <v>1</v>
      </c>
      <c r="D199" s="85"/>
    </row>
    <row r="200" spans="1:17" s="4" customFormat="1" ht="14.5" x14ac:dyDescent="0.35">
      <c r="B200" s="3" t="s">
        <v>432</v>
      </c>
      <c r="C200" s="188" t="s">
        <v>11</v>
      </c>
      <c r="D200" s="85">
        <f>VLOOKUP(C200,Aprēķins_2030!$A$141:$Q$183,17,FALSE)</f>
        <v>1698.7570532561961</v>
      </c>
    </row>
    <row r="201" spans="1:17" s="4" customFormat="1" ht="14.5" x14ac:dyDescent="0.35">
      <c r="B201" s="3" t="s">
        <v>432</v>
      </c>
      <c r="C201" s="188" t="s">
        <v>16</v>
      </c>
      <c r="D201" s="85">
        <f>VLOOKUP(C201,Aprēķins_2030!$A$141:$Q$183,17,FALSE)</f>
        <v>810.36529960978601</v>
      </c>
    </row>
    <row r="202" spans="1:17" s="4" customFormat="1" ht="14.5" x14ac:dyDescent="0.35">
      <c r="B202" s="3" t="s">
        <v>432</v>
      </c>
      <c r="C202" s="188" t="s">
        <v>443</v>
      </c>
      <c r="D202" s="85">
        <f>VLOOKUP(C202,Aprēķins_2030!$A$141:$Q$183,17,FALSE)</f>
        <v>1090.6064686343939</v>
      </c>
    </row>
    <row r="203" spans="1:17" s="4" customFormat="1" ht="14.5" x14ac:dyDescent="0.35">
      <c r="B203" s="3" t="s">
        <v>432</v>
      </c>
      <c r="C203" s="188" t="s">
        <v>20</v>
      </c>
      <c r="D203" s="85">
        <f>VLOOKUP(C203,Aprēķins_2030!$A$141:$Q$183,17,FALSE)</f>
        <v>2088.4178894256438</v>
      </c>
    </row>
    <row r="204" spans="1:17" s="4" customFormat="1" ht="14.5" x14ac:dyDescent="0.35">
      <c r="B204" s="3" t="s">
        <v>432</v>
      </c>
      <c r="C204" s="188" t="s">
        <v>24</v>
      </c>
      <c r="D204" s="85">
        <f>VLOOKUP(C204,Aprēķins_2030!$A$141:$Q$183,17,FALSE)</f>
        <v>842.48235456610632</v>
      </c>
    </row>
    <row r="205" spans="1:17" s="4" customFormat="1" ht="14.5" x14ac:dyDescent="0.35">
      <c r="B205" s="3" t="s">
        <v>432</v>
      </c>
      <c r="C205" s="188" t="s">
        <v>25</v>
      </c>
      <c r="D205" s="85">
        <f>VLOOKUP(C205,Aprēķins_2030!$A$141:$Q$183,17,FALSE)</f>
        <v>2435.9265402443998</v>
      </c>
    </row>
    <row r="206" spans="1:17" s="4" customFormat="1" ht="14.5" x14ac:dyDescent="0.35">
      <c r="B206" s="3" t="s">
        <v>432</v>
      </c>
      <c r="C206" s="188" t="s">
        <v>31</v>
      </c>
      <c r="D206" s="85">
        <f>VLOOKUP(C206,Aprēķins_2030!$A$141:$Q$183,17,FALSE)</f>
        <v>2655.8770541875997</v>
      </c>
    </row>
    <row r="207" spans="1:17" s="4" customFormat="1" ht="14.5" x14ac:dyDescent="0.35">
      <c r="B207" s="3" t="s">
        <v>432</v>
      </c>
      <c r="C207" s="188" t="s">
        <v>2</v>
      </c>
      <c r="D207" s="85">
        <f>VLOOKUP(C207,Aprēķins_2030!$A$141:$Q$183,17,FALSE)</f>
        <v>5029.8162561454974</v>
      </c>
    </row>
    <row r="208" spans="1:17" s="4" customFormat="1" ht="14.5" x14ac:dyDescent="0.35">
      <c r="B208" s="3" t="s">
        <v>432</v>
      </c>
      <c r="C208" s="188" t="s">
        <v>441</v>
      </c>
      <c r="D208" s="85">
        <f>VLOOKUP(C208,Aprēķins_2030!$A$141:$Q$183,17,FALSE)</f>
        <v>2171.3532485469755</v>
      </c>
    </row>
    <row r="209" spans="2:4" s="4" customFormat="1" ht="14.5" x14ac:dyDescent="0.35">
      <c r="B209" s="3" t="s">
        <v>432</v>
      </c>
      <c r="C209" s="188" t="s">
        <v>35</v>
      </c>
      <c r="D209" s="85">
        <f>VLOOKUP(C209,Aprēķins_2030!$A$141:$Q$183,17,FALSE)</f>
        <v>1595.3627364754866</v>
      </c>
    </row>
    <row r="210" spans="2:4" s="4" customFormat="1" ht="14.5" x14ac:dyDescent="0.35">
      <c r="B210" s="3" t="s">
        <v>432</v>
      </c>
      <c r="C210" s="188" t="s">
        <v>42</v>
      </c>
      <c r="D210" s="85">
        <f>VLOOKUP(C210,Aprēķins_2030!$A$141:$Q$183,17,FALSE)</f>
        <v>1279.7421341367492</v>
      </c>
    </row>
    <row r="211" spans="2:4" s="4" customFormat="1" ht="14.5" x14ac:dyDescent="0.35">
      <c r="B211" s="3" t="s">
        <v>432</v>
      </c>
      <c r="C211" s="188" t="s">
        <v>50</v>
      </c>
      <c r="D211" s="85">
        <f>VLOOKUP(C211,Aprēķins_2030!$A$141:$Q$183,17,FALSE)</f>
        <v>1948.1558529168403</v>
      </c>
    </row>
    <row r="212" spans="2:4" s="4" customFormat="1" ht="14.5" x14ac:dyDescent="0.35">
      <c r="B212" s="3" t="s">
        <v>432</v>
      </c>
      <c r="C212" s="188" t="s">
        <v>51</v>
      </c>
      <c r="D212" s="85">
        <f>VLOOKUP(C212,Aprēķins_2030!$A$141:$Q$183,17,FALSE)</f>
        <v>2770.2845002973258</v>
      </c>
    </row>
    <row r="213" spans="2:4" s="4" customFormat="1" ht="14.5" x14ac:dyDescent="0.35">
      <c r="B213" s="3" t="s">
        <v>432</v>
      </c>
      <c r="C213" s="188" t="s">
        <v>4</v>
      </c>
      <c r="D213" s="85">
        <f>VLOOKUP(C213,Aprēķins_2030!$A$141:$Q$183,17,FALSE)</f>
        <v>3057.3767123392522</v>
      </c>
    </row>
    <row r="214" spans="2:4" s="4" customFormat="1" ht="14.5" x14ac:dyDescent="0.35">
      <c r="B214" s="3" t="s">
        <v>432</v>
      </c>
      <c r="C214" s="188" t="s">
        <v>56</v>
      </c>
      <c r="D214" s="85">
        <f>VLOOKUP(C214,Aprēķins_2030!$A$141:$Q$183,17,FALSE)</f>
        <v>857.32015402039474</v>
      </c>
    </row>
    <row r="215" spans="2:4" s="4" customFormat="1" ht="14.5" x14ac:dyDescent="0.35">
      <c r="B215" s="3" t="s">
        <v>432</v>
      </c>
      <c r="C215" s="188" t="s">
        <v>59</v>
      </c>
      <c r="D215" s="85">
        <f>VLOOKUP(C215,Aprēķins_2030!$A$141:$Q$183,17,FALSE)</f>
        <v>1846.0970417687458</v>
      </c>
    </row>
    <row r="216" spans="2:4" s="4" customFormat="1" ht="14.5" x14ac:dyDescent="0.35">
      <c r="B216" s="3" t="s">
        <v>432</v>
      </c>
      <c r="C216" s="188" t="s">
        <v>61</v>
      </c>
      <c r="D216" s="85">
        <f>VLOOKUP(C216,Aprēķins_2030!$A$141:$Q$183,17,FALSE)</f>
        <v>2776.2604409145947</v>
      </c>
    </row>
    <row r="217" spans="2:4" s="4" customFormat="1" ht="14.5" x14ac:dyDescent="0.35">
      <c r="B217" s="3" t="s">
        <v>432</v>
      </c>
      <c r="C217" s="188" t="s">
        <v>6</v>
      </c>
      <c r="D217" s="85">
        <f>VLOOKUP(C217,Aprēķins_2030!$A$141:$Q$183,17,FALSE)</f>
        <v>6511.6257309944294</v>
      </c>
    </row>
    <row r="218" spans="2:4" s="4" customFormat="1" ht="14.5" x14ac:dyDescent="0.35">
      <c r="B218" s="3" t="s">
        <v>432</v>
      </c>
      <c r="C218" s="188" t="s">
        <v>63</v>
      </c>
      <c r="D218" s="85">
        <f>VLOOKUP(C218,Aprēķins_2030!$A$141:$Q$183,17,FALSE)</f>
        <v>2163.2702748491643</v>
      </c>
    </row>
    <row r="219" spans="2:4" s="4" customFormat="1" ht="14.5" x14ac:dyDescent="0.35">
      <c r="B219" s="3" t="s">
        <v>432</v>
      </c>
      <c r="C219" s="188" t="s">
        <v>65</v>
      </c>
      <c r="D219" s="85">
        <f>VLOOKUP(C219,Aprēķins_2030!$A$141:$Q$183,17,FALSE)</f>
        <v>487.27784747789872</v>
      </c>
    </row>
    <row r="220" spans="2:4" s="4" customFormat="1" ht="14.5" x14ac:dyDescent="0.35">
      <c r="B220" s="3" t="s">
        <v>432</v>
      </c>
      <c r="C220" s="188" t="s">
        <v>67</v>
      </c>
      <c r="D220" s="85">
        <f>VLOOKUP(C220,Aprēķins_2030!$A$141:$Q$183,17,FALSE)</f>
        <v>985.50068770915072</v>
      </c>
    </row>
    <row r="221" spans="2:4" s="4" customFormat="1" ht="14.5" x14ac:dyDescent="0.35">
      <c r="B221" s="3" t="s">
        <v>432</v>
      </c>
      <c r="C221" s="188" t="s">
        <v>68</v>
      </c>
      <c r="D221" s="85">
        <f>VLOOKUP(C221,Aprēķins_2030!$A$141:$Q$183,17,FALSE)</f>
        <v>1884.8159739395865</v>
      </c>
    </row>
    <row r="222" spans="2:4" s="4" customFormat="1" ht="14.5" x14ac:dyDescent="0.35">
      <c r="B222" s="3" t="s">
        <v>432</v>
      </c>
      <c r="C222" s="188" t="s">
        <v>71</v>
      </c>
      <c r="D222" s="85">
        <f>VLOOKUP(C222,Aprēķins_2030!$A$141:$Q$183,17,FALSE)</f>
        <v>3718.2740778586544</v>
      </c>
    </row>
    <row r="223" spans="2:4" s="4" customFormat="1" ht="14.5" x14ac:dyDescent="0.35">
      <c r="B223" s="3" t="s">
        <v>432</v>
      </c>
      <c r="C223" s="188" t="s">
        <v>76</v>
      </c>
      <c r="D223" s="85">
        <f>VLOOKUP(C223,Aprēķins_2030!$A$141:$Q$183,17,FALSE)</f>
        <v>4798.6374514532254</v>
      </c>
    </row>
    <row r="224" spans="2:4" s="4" customFormat="1" ht="14.5" x14ac:dyDescent="0.35">
      <c r="B224" s="3" t="s">
        <v>432</v>
      </c>
      <c r="C224" s="188" t="s">
        <v>77</v>
      </c>
      <c r="D224" s="85">
        <f>VLOOKUP(C224,Aprēķins_2030!$A$141:$Q$183,17,FALSE)</f>
        <v>1617.320230680042</v>
      </c>
    </row>
    <row r="225" spans="2:4" s="4" customFormat="1" ht="14.5" x14ac:dyDescent="0.35">
      <c r="B225" s="3" t="s">
        <v>432</v>
      </c>
      <c r="C225" s="188" t="s">
        <v>82</v>
      </c>
      <c r="D225" s="85">
        <f>VLOOKUP(C225,Aprēķins_2030!$A$141:$Q$183,17,FALSE)</f>
        <v>832.83496404639811</v>
      </c>
    </row>
    <row r="226" spans="2:4" s="4" customFormat="1" ht="14.5" x14ac:dyDescent="0.35">
      <c r="B226" s="3" t="s">
        <v>432</v>
      </c>
      <c r="C226" s="188" t="s">
        <v>7</v>
      </c>
      <c r="D226" s="85">
        <f>VLOOKUP(C226,Aprēķins_2030!$A$141:$Q$183,17,FALSE)</f>
        <v>2051.0825769698804</v>
      </c>
    </row>
    <row r="227" spans="2:4" s="4" customFormat="1" ht="14.5" x14ac:dyDescent="0.35">
      <c r="B227" s="3" t="s">
        <v>432</v>
      </c>
      <c r="C227" s="188" t="s">
        <v>86</v>
      </c>
      <c r="D227" s="85">
        <f>VLOOKUP(C227,Aprēķins_2030!$A$141:$Q$183,17,FALSE)</f>
        <v>1404.6826266648977</v>
      </c>
    </row>
    <row r="228" spans="2:4" s="4" customFormat="1" ht="14.5" x14ac:dyDescent="0.35">
      <c r="B228" s="3" t="s">
        <v>432</v>
      </c>
      <c r="C228" s="188" t="s">
        <v>89</v>
      </c>
      <c r="D228" s="85">
        <f>VLOOKUP(C228,Aprēķins_2030!$A$141:$Q$183,17,FALSE)</f>
        <v>2543.5276600225329</v>
      </c>
    </row>
    <row r="229" spans="2:4" s="4" customFormat="1" ht="14.5" x14ac:dyDescent="0.35">
      <c r="B229" s="3" t="s">
        <v>432</v>
      </c>
      <c r="C229" s="188" t="s">
        <v>96</v>
      </c>
      <c r="D229" s="85">
        <f>VLOOKUP(C229,Aprēķins_2030!$A$141:$Q$183,17,FALSE)</f>
        <v>2198.7888218159073</v>
      </c>
    </row>
    <row r="230" spans="2:4" s="4" customFormat="1" ht="14.5" x14ac:dyDescent="0.35">
      <c r="B230" s="3" t="s">
        <v>432</v>
      </c>
      <c r="C230" s="188" t="s">
        <v>97</v>
      </c>
      <c r="D230" s="85">
        <f>VLOOKUP(C230,Aprēķins_2030!$A$141:$Q$183,17,FALSE)</f>
        <v>1716.3364432690694</v>
      </c>
    </row>
    <row r="231" spans="2:4" s="4" customFormat="1" ht="14.5" x14ac:dyDescent="0.35">
      <c r="B231" s="3" t="s">
        <v>432</v>
      </c>
      <c r="C231" s="188" t="s">
        <v>98</v>
      </c>
      <c r="D231" s="85">
        <f>VLOOKUP(C231,Aprēķins_2030!$A$141:$Q$183,17,FALSE)</f>
        <v>720.99925134281591</v>
      </c>
    </row>
    <row r="232" spans="2:4" s="4" customFormat="1" ht="14.5" x14ac:dyDescent="0.35">
      <c r="B232" s="3" t="s">
        <v>432</v>
      </c>
      <c r="C232" s="188" t="s">
        <v>100</v>
      </c>
      <c r="D232" s="85">
        <f>VLOOKUP(C232,Aprēķins_2030!$A$141:$Q$183,17,FALSE)</f>
        <v>2951.8546897297219</v>
      </c>
    </row>
    <row r="233" spans="2:4" s="4" customFormat="1" ht="14.5" x14ac:dyDescent="0.35">
      <c r="B233" s="3" t="s">
        <v>432</v>
      </c>
      <c r="C233" s="188" t="s">
        <v>103</v>
      </c>
      <c r="D233" s="85">
        <f>VLOOKUP(C233,Aprēķins_2030!$A$141:$Q$183,17,FALSE)</f>
        <v>1190.4955699247887</v>
      </c>
    </row>
    <row r="234" spans="2:4" s="4" customFormat="1" ht="14.5" x14ac:dyDescent="0.35">
      <c r="B234" s="3" t="s">
        <v>432</v>
      </c>
      <c r="C234" s="188" t="s">
        <v>106</v>
      </c>
      <c r="D234" s="85">
        <f>VLOOKUP(C234,Aprēķins_2030!$A$141:$Q$183,17,FALSE)</f>
        <v>2330.5625098199316</v>
      </c>
    </row>
    <row r="235" spans="2:4" s="4" customFormat="1" ht="14.5" x14ac:dyDescent="0.35">
      <c r="B235" s="3" t="s">
        <v>432</v>
      </c>
      <c r="C235" s="188" t="s">
        <v>108</v>
      </c>
      <c r="D235" s="85">
        <f>VLOOKUP(C235,Aprēķins_2030!$A$141:$Q$183,17,FALSE)</f>
        <v>3454.8372844991777</v>
      </c>
    </row>
    <row r="236" spans="2:4" s="4" customFormat="1" ht="14.5" x14ac:dyDescent="0.35">
      <c r="B236" s="3" t="s">
        <v>432</v>
      </c>
      <c r="C236" s="188" t="s">
        <v>110</v>
      </c>
      <c r="D236" s="85">
        <f>VLOOKUP(C236,Aprēķins_2030!$A$141:$Q$183,17,FALSE)</f>
        <v>433.5645189514629</v>
      </c>
    </row>
    <row r="237" spans="2:4" s="4" customFormat="1" ht="14.5" x14ac:dyDescent="0.35">
      <c r="B237" s="3" t="s">
        <v>432</v>
      </c>
      <c r="C237" s="188" t="s">
        <v>442</v>
      </c>
      <c r="D237" s="85">
        <f>VLOOKUP(C237,Aprēķins_2030!$A$141:$Q$183,17,FALSE)</f>
        <v>4700.1389281475012</v>
      </c>
    </row>
    <row r="238" spans="2:4" s="4" customFormat="1" ht="14.5" x14ac:dyDescent="0.35">
      <c r="B238" s="3" t="s">
        <v>432</v>
      </c>
      <c r="C238" s="188" t="s">
        <v>111</v>
      </c>
      <c r="D238" s="85">
        <f>VLOOKUP(C238,Aprēķins_2030!$A$141:$Q$183,17,FALSE)</f>
        <v>191.81108705063784</v>
      </c>
    </row>
    <row r="239" spans="2:4" s="4" customFormat="1" ht="14.5" x14ac:dyDescent="0.35">
      <c r="B239" s="3" t="s">
        <v>432</v>
      </c>
      <c r="C239" s="188" t="s">
        <v>9</v>
      </c>
      <c r="D239" s="85">
        <f>VLOOKUP(C239,Aprēķins_2030!$A$141:$Q$183,17,FALSE)</f>
        <v>3411.4517673542773</v>
      </c>
    </row>
    <row r="240" spans="2:4" s="4" customFormat="1" ht="14.5" x14ac:dyDescent="0.35">
      <c r="B240" s="3" t="s">
        <v>432</v>
      </c>
      <c r="C240" s="188" t="s">
        <v>115</v>
      </c>
      <c r="D240" s="85">
        <f>VLOOKUP(C240,Aprēķins_2030!$A$141:$Q$183,17,FALSE)</f>
        <v>720.44327502335148</v>
      </c>
    </row>
    <row r="241" spans="2:4" s="4" customFormat="1" ht="14.5" x14ac:dyDescent="0.35">
      <c r="B241" s="3"/>
      <c r="C241" s="3"/>
      <c r="D241" s="85">
        <v>0</v>
      </c>
    </row>
    <row r="242" spans="2:4" s="4" customFormat="1" ht="14.5" x14ac:dyDescent="0.35">
      <c r="B242" s="3"/>
      <c r="C242" s="3"/>
      <c r="D242" s="85">
        <v>7000</v>
      </c>
    </row>
  </sheetData>
  <sheetProtection algorithmName="SHA-512" hashValue="N6lsYaBGHMrWvEO1FIRyMAtSbOrYQiRc8p3h9n9uqVlL7rKwl/QrwzD3ia8EzLUeighvSDw03q13spgqDrEneg==" saltValue="XwCCFMdjFLCm3iEiug2sAg==" spinCount="100000" sheet="1" objects="1" scenarios="1"/>
  <mergeCells count="10">
    <mergeCell ref="X3:Y4"/>
    <mergeCell ref="F3:I3"/>
    <mergeCell ref="J3:M3"/>
    <mergeCell ref="N3:Q3"/>
    <mergeCell ref="R3:U3"/>
    <mergeCell ref="E3:E4"/>
    <mergeCell ref="D3:D4"/>
    <mergeCell ref="C3:C4"/>
    <mergeCell ref="B3:B4"/>
    <mergeCell ref="B197:D197"/>
  </mergeCells>
  <phoneticPr fontId="4" type="noConversion"/>
  <pageMargins left="0.7" right="0.7" top="0.75" bottom="0.75" header="0.3" footer="0.3"/>
  <pageSetup paperSize="9" orientation="portrait" verticalDpi="0" r:id="rId3"/>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1B020-908C-4A3F-BDD0-05E56A36E165}">
  <dimension ref="A1:D94"/>
  <sheetViews>
    <sheetView zoomScale="70" zoomScaleNormal="70" workbookViewId="0">
      <selection activeCell="AC74" sqref="AC74"/>
    </sheetView>
  </sheetViews>
  <sheetFormatPr defaultColWidth="8.90625" defaultRowHeight="14.5" x14ac:dyDescent="0.35"/>
  <cols>
    <col min="1" max="1" width="8.90625" style="4"/>
    <col min="2" max="2" width="26.453125" style="4" customWidth="1"/>
    <col min="3" max="3" width="22.90625" style="4" customWidth="1"/>
    <col min="4" max="5" width="11.08984375" style="4" customWidth="1"/>
    <col min="6" max="16384" width="8.90625" style="4"/>
  </cols>
  <sheetData>
    <row r="1" spans="1:4" ht="27" customHeight="1" x14ac:dyDescent="0.6">
      <c r="A1" s="39" t="s">
        <v>507</v>
      </c>
    </row>
    <row r="2" spans="1:4" x14ac:dyDescent="0.35">
      <c r="A2" s="189" t="s">
        <v>433</v>
      </c>
      <c r="B2" s="189" t="s">
        <v>434</v>
      </c>
      <c r="C2" s="189" t="s">
        <v>436</v>
      </c>
    </row>
    <row r="3" spans="1:4" x14ac:dyDescent="0.35">
      <c r="A3" s="3" t="s">
        <v>432</v>
      </c>
      <c r="B3" s="188" t="s">
        <v>1</v>
      </c>
      <c r="C3" s="3" t="s">
        <v>438</v>
      </c>
    </row>
    <row r="4" spans="1:4" x14ac:dyDescent="0.35">
      <c r="A4" s="3" t="s">
        <v>432</v>
      </c>
      <c r="B4" s="188" t="s">
        <v>11</v>
      </c>
      <c r="C4" s="3" t="s">
        <v>438</v>
      </c>
    </row>
    <row r="5" spans="1:4" x14ac:dyDescent="0.35">
      <c r="A5" s="3" t="s">
        <v>432</v>
      </c>
      <c r="B5" s="188" t="s">
        <v>16</v>
      </c>
      <c r="C5" s="3" t="s">
        <v>439</v>
      </c>
    </row>
    <row r="6" spans="1:4" x14ac:dyDescent="0.35">
      <c r="A6" s="3" t="s">
        <v>432</v>
      </c>
      <c r="B6" s="188" t="s">
        <v>443</v>
      </c>
      <c r="C6" s="3" t="s">
        <v>437</v>
      </c>
    </row>
    <row r="7" spans="1:4" x14ac:dyDescent="0.35">
      <c r="A7" s="3" t="s">
        <v>432</v>
      </c>
      <c r="B7" s="188" t="s">
        <v>20</v>
      </c>
      <c r="C7" s="3" t="s">
        <v>438</v>
      </c>
    </row>
    <row r="8" spans="1:4" x14ac:dyDescent="0.35">
      <c r="A8" s="3" t="s">
        <v>432</v>
      </c>
      <c r="B8" s="188" t="s">
        <v>24</v>
      </c>
      <c r="C8" s="3" t="s">
        <v>439</v>
      </c>
    </row>
    <row r="9" spans="1:4" x14ac:dyDescent="0.35">
      <c r="A9" s="3" t="s">
        <v>432</v>
      </c>
      <c r="B9" s="188" t="s">
        <v>25</v>
      </c>
      <c r="C9" s="3" t="s">
        <v>438</v>
      </c>
    </row>
    <row r="10" spans="1:4" x14ac:dyDescent="0.35">
      <c r="A10" s="3" t="s">
        <v>432</v>
      </c>
      <c r="B10" s="188" t="s">
        <v>31</v>
      </c>
      <c r="C10" s="3" t="s">
        <v>439</v>
      </c>
    </row>
    <row r="11" spans="1:4" x14ac:dyDescent="0.35">
      <c r="A11" s="3" t="s">
        <v>432</v>
      </c>
      <c r="B11" s="188" t="s">
        <v>2</v>
      </c>
      <c r="C11" s="3" t="s">
        <v>437</v>
      </c>
    </row>
    <row r="12" spans="1:4" x14ac:dyDescent="0.35">
      <c r="A12" s="3" t="s">
        <v>432</v>
      </c>
      <c r="B12" s="188" t="s">
        <v>441</v>
      </c>
      <c r="C12" s="3" t="s">
        <v>176</v>
      </c>
    </row>
    <row r="13" spans="1:4" x14ac:dyDescent="0.35">
      <c r="A13" s="3" t="s">
        <v>432</v>
      </c>
      <c r="B13" s="188" t="s">
        <v>35</v>
      </c>
      <c r="C13" s="3" t="s">
        <v>438</v>
      </c>
    </row>
    <row r="14" spans="1:4" x14ac:dyDescent="0.35">
      <c r="A14" s="3" t="s">
        <v>432</v>
      </c>
      <c r="B14" s="188" t="s">
        <v>42</v>
      </c>
      <c r="C14" s="3" t="s">
        <v>439</v>
      </c>
      <c r="D14" s="187"/>
    </row>
    <row r="15" spans="1:4" x14ac:dyDescent="0.35">
      <c r="A15" s="3" t="s">
        <v>432</v>
      </c>
      <c r="B15" s="188" t="s">
        <v>50</v>
      </c>
      <c r="C15" s="3" t="s">
        <v>438</v>
      </c>
    </row>
    <row r="16" spans="1:4" x14ac:dyDescent="0.35">
      <c r="A16" s="3" t="s">
        <v>432</v>
      </c>
      <c r="B16" s="188" t="s">
        <v>51</v>
      </c>
      <c r="C16" s="3" t="s">
        <v>437</v>
      </c>
    </row>
    <row r="17" spans="1:3" x14ac:dyDescent="0.35">
      <c r="A17" s="3" t="s">
        <v>432</v>
      </c>
      <c r="B17" s="188" t="s">
        <v>4</v>
      </c>
      <c r="C17" s="3" t="s">
        <v>440</v>
      </c>
    </row>
    <row r="18" spans="1:3" x14ac:dyDescent="0.35">
      <c r="A18" s="3" t="s">
        <v>432</v>
      </c>
      <c r="B18" s="188" t="s">
        <v>56</v>
      </c>
      <c r="C18" s="3" t="s">
        <v>437</v>
      </c>
    </row>
    <row r="19" spans="1:3" x14ac:dyDescent="0.35">
      <c r="A19" s="3" t="s">
        <v>432</v>
      </c>
      <c r="B19" s="188" t="s">
        <v>59</v>
      </c>
      <c r="C19" s="3" t="s">
        <v>440</v>
      </c>
    </row>
    <row r="20" spans="1:3" x14ac:dyDescent="0.35">
      <c r="A20" s="3" t="s">
        <v>432</v>
      </c>
      <c r="B20" s="188" t="s">
        <v>61</v>
      </c>
      <c r="C20" s="3" t="s">
        <v>438</v>
      </c>
    </row>
    <row r="21" spans="1:3" x14ac:dyDescent="0.35">
      <c r="A21" s="3" t="s">
        <v>432</v>
      </c>
      <c r="B21" s="188" t="s">
        <v>6</v>
      </c>
      <c r="C21" s="3" t="s">
        <v>176</v>
      </c>
    </row>
    <row r="22" spans="1:3" x14ac:dyDescent="0.35">
      <c r="A22" s="3" t="s">
        <v>432</v>
      </c>
      <c r="B22" s="188" t="s">
        <v>63</v>
      </c>
      <c r="C22" s="3" t="s">
        <v>439</v>
      </c>
    </row>
    <row r="23" spans="1:3" x14ac:dyDescent="0.35">
      <c r="A23" s="3" t="s">
        <v>432</v>
      </c>
      <c r="B23" s="188" t="s">
        <v>65</v>
      </c>
      <c r="C23" s="3" t="s">
        <v>437</v>
      </c>
    </row>
    <row r="24" spans="1:3" x14ac:dyDescent="0.35">
      <c r="A24" s="3" t="s">
        <v>432</v>
      </c>
      <c r="B24" s="188" t="s">
        <v>67</v>
      </c>
      <c r="C24" s="3" t="s">
        <v>437</v>
      </c>
    </row>
    <row r="25" spans="1:3" x14ac:dyDescent="0.35">
      <c r="A25" s="3" t="s">
        <v>432</v>
      </c>
      <c r="B25" s="188" t="s">
        <v>68</v>
      </c>
      <c r="C25" s="3" t="s">
        <v>439</v>
      </c>
    </row>
    <row r="26" spans="1:3" x14ac:dyDescent="0.35">
      <c r="A26" s="3" t="s">
        <v>432</v>
      </c>
      <c r="B26" s="188" t="s">
        <v>71</v>
      </c>
      <c r="C26" s="3" t="s">
        <v>438</v>
      </c>
    </row>
    <row r="27" spans="1:3" x14ac:dyDescent="0.35">
      <c r="A27" s="3" t="s">
        <v>432</v>
      </c>
      <c r="B27" s="188" t="s">
        <v>76</v>
      </c>
      <c r="C27" s="3" t="s">
        <v>438</v>
      </c>
    </row>
    <row r="28" spans="1:3" x14ac:dyDescent="0.35">
      <c r="A28" s="3" t="s">
        <v>432</v>
      </c>
      <c r="B28" s="188" t="s">
        <v>77</v>
      </c>
      <c r="C28" s="3" t="s">
        <v>438</v>
      </c>
    </row>
    <row r="29" spans="1:3" x14ac:dyDescent="0.35">
      <c r="A29" s="3" t="s">
        <v>432</v>
      </c>
      <c r="B29" s="188" t="s">
        <v>82</v>
      </c>
      <c r="C29" s="3" t="s">
        <v>437</v>
      </c>
    </row>
    <row r="30" spans="1:3" x14ac:dyDescent="0.35">
      <c r="A30" s="3" t="s">
        <v>432</v>
      </c>
      <c r="B30" s="188" t="s">
        <v>7</v>
      </c>
      <c r="C30" s="3" t="s">
        <v>437</v>
      </c>
    </row>
    <row r="31" spans="1:3" x14ac:dyDescent="0.35">
      <c r="A31" s="3" t="s">
        <v>432</v>
      </c>
      <c r="B31" s="188" t="s">
        <v>86</v>
      </c>
      <c r="C31" s="3" t="s">
        <v>437</v>
      </c>
    </row>
    <row r="32" spans="1:3" x14ac:dyDescent="0.35">
      <c r="A32" s="3" t="s">
        <v>432</v>
      </c>
      <c r="B32" s="188" t="s">
        <v>89</v>
      </c>
      <c r="C32" s="3" t="s">
        <v>438</v>
      </c>
    </row>
    <row r="33" spans="1:3" x14ac:dyDescent="0.35">
      <c r="A33" s="3" t="s">
        <v>432</v>
      </c>
      <c r="B33" s="188" t="s">
        <v>96</v>
      </c>
      <c r="C33" s="3" t="s">
        <v>438</v>
      </c>
    </row>
    <row r="34" spans="1:3" x14ac:dyDescent="0.35">
      <c r="A34" s="3" t="s">
        <v>432</v>
      </c>
      <c r="B34" s="188" t="s">
        <v>97</v>
      </c>
      <c r="C34" s="3" t="s">
        <v>176</v>
      </c>
    </row>
    <row r="35" spans="1:3" x14ac:dyDescent="0.35">
      <c r="A35" s="3" t="s">
        <v>432</v>
      </c>
      <c r="B35" s="188" t="s">
        <v>98</v>
      </c>
      <c r="C35" s="3" t="s">
        <v>439</v>
      </c>
    </row>
    <row r="36" spans="1:3" x14ac:dyDescent="0.35">
      <c r="A36" s="3" t="s">
        <v>432</v>
      </c>
      <c r="B36" s="188" t="s">
        <v>100</v>
      </c>
      <c r="C36" s="3" t="s">
        <v>438</v>
      </c>
    </row>
    <row r="37" spans="1:3" x14ac:dyDescent="0.35">
      <c r="A37" s="3" t="s">
        <v>432</v>
      </c>
      <c r="B37" s="188" t="s">
        <v>103</v>
      </c>
      <c r="C37" s="3" t="s">
        <v>439</v>
      </c>
    </row>
    <row r="38" spans="1:3" x14ac:dyDescent="0.35">
      <c r="A38" s="3" t="s">
        <v>432</v>
      </c>
      <c r="B38" s="188" t="s">
        <v>106</v>
      </c>
      <c r="C38" s="3" t="s">
        <v>440</v>
      </c>
    </row>
    <row r="39" spans="1:3" x14ac:dyDescent="0.35">
      <c r="A39" s="3" t="s">
        <v>432</v>
      </c>
      <c r="B39" s="188" t="s">
        <v>108</v>
      </c>
      <c r="C39" s="3" t="s">
        <v>440</v>
      </c>
    </row>
    <row r="40" spans="1:3" x14ac:dyDescent="0.35">
      <c r="A40" s="3" t="s">
        <v>432</v>
      </c>
      <c r="B40" s="188" t="s">
        <v>110</v>
      </c>
      <c r="C40" s="3" t="s">
        <v>439</v>
      </c>
    </row>
    <row r="41" spans="1:3" x14ac:dyDescent="0.35">
      <c r="A41" s="3" t="s">
        <v>432</v>
      </c>
      <c r="B41" s="188" t="s">
        <v>442</v>
      </c>
      <c r="C41" s="3" t="s">
        <v>439</v>
      </c>
    </row>
    <row r="42" spans="1:3" x14ac:dyDescent="0.35">
      <c r="A42" s="3" t="s">
        <v>432</v>
      </c>
      <c r="B42" s="188" t="s">
        <v>111</v>
      </c>
      <c r="C42" s="3" t="s">
        <v>437</v>
      </c>
    </row>
    <row r="43" spans="1:3" x14ac:dyDescent="0.35">
      <c r="A43" s="3" t="s">
        <v>432</v>
      </c>
      <c r="B43" s="188" t="s">
        <v>9</v>
      </c>
      <c r="C43" s="3" t="s">
        <v>440</v>
      </c>
    </row>
    <row r="44" spans="1:3" x14ac:dyDescent="0.35">
      <c r="A44" s="3" t="s">
        <v>432</v>
      </c>
      <c r="B44" s="188" t="s">
        <v>115</v>
      </c>
      <c r="C44" s="3" t="s">
        <v>440</v>
      </c>
    </row>
    <row r="46" spans="1:3" ht="14.4" customHeight="1" x14ac:dyDescent="0.35"/>
    <row r="49" spans="1:4" ht="26" x14ac:dyDescent="0.6">
      <c r="A49" s="39" t="s">
        <v>526</v>
      </c>
    </row>
    <row r="50" spans="1:4" x14ac:dyDescent="0.35">
      <c r="A50" s="189" t="s">
        <v>433</v>
      </c>
      <c r="B50" s="189" t="s">
        <v>434</v>
      </c>
      <c r="C50" s="189" t="s">
        <v>525</v>
      </c>
    </row>
    <row r="51" spans="1:4" x14ac:dyDescent="0.35">
      <c r="A51" s="3" t="s">
        <v>432</v>
      </c>
      <c r="B51" s="188" t="s">
        <v>1</v>
      </c>
      <c r="C51" s="3" t="s">
        <v>155</v>
      </c>
    </row>
    <row r="52" spans="1:4" x14ac:dyDescent="0.35">
      <c r="A52" s="3" t="s">
        <v>432</v>
      </c>
      <c r="B52" s="188" t="s">
        <v>11</v>
      </c>
      <c r="C52" s="3" t="s">
        <v>158</v>
      </c>
    </row>
    <row r="53" spans="1:4" x14ac:dyDescent="0.35">
      <c r="A53" s="3" t="s">
        <v>432</v>
      </c>
      <c r="B53" s="188" t="s">
        <v>16</v>
      </c>
      <c r="C53" s="3" t="s">
        <v>165</v>
      </c>
    </row>
    <row r="54" spans="1:4" x14ac:dyDescent="0.35">
      <c r="A54" s="3" t="s">
        <v>432</v>
      </c>
      <c r="B54" s="188" t="s">
        <v>443</v>
      </c>
      <c r="C54" s="3" t="s">
        <v>156</v>
      </c>
    </row>
    <row r="55" spans="1:4" x14ac:dyDescent="0.35">
      <c r="A55" s="3" t="s">
        <v>432</v>
      </c>
      <c r="B55" s="188" t="s">
        <v>20</v>
      </c>
      <c r="C55" s="3" t="s">
        <v>155</v>
      </c>
    </row>
    <row r="56" spans="1:4" x14ac:dyDescent="0.35">
      <c r="A56" s="3" t="s">
        <v>432</v>
      </c>
      <c r="B56" s="188" t="s">
        <v>24</v>
      </c>
      <c r="C56" s="3" t="s">
        <v>165</v>
      </c>
    </row>
    <row r="57" spans="1:4" x14ac:dyDescent="0.35">
      <c r="A57" s="3" t="s">
        <v>432</v>
      </c>
      <c r="B57" s="188" t="s">
        <v>25</v>
      </c>
      <c r="C57" s="3" t="s">
        <v>157</v>
      </c>
    </row>
    <row r="58" spans="1:4" x14ac:dyDescent="0.35">
      <c r="A58" s="3" t="s">
        <v>432</v>
      </c>
      <c r="B58" s="188" t="s">
        <v>31</v>
      </c>
      <c r="C58" s="3" t="s">
        <v>161</v>
      </c>
    </row>
    <row r="59" spans="1:4" x14ac:dyDescent="0.35">
      <c r="A59" s="3" t="s">
        <v>432</v>
      </c>
      <c r="B59" s="188" t="s">
        <v>2</v>
      </c>
      <c r="C59" s="3" t="s">
        <v>156</v>
      </c>
    </row>
    <row r="60" spans="1:4" x14ac:dyDescent="0.35">
      <c r="A60" s="3" t="s">
        <v>432</v>
      </c>
      <c r="B60" s="188" t="s">
        <v>441</v>
      </c>
      <c r="C60" s="3" t="s">
        <v>6</v>
      </c>
    </row>
    <row r="61" spans="1:4" x14ac:dyDescent="0.35">
      <c r="A61" s="3" t="s">
        <v>432</v>
      </c>
      <c r="B61" s="188" t="s">
        <v>35</v>
      </c>
      <c r="C61" s="3" t="s">
        <v>157</v>
      </c>
    </row>
    <row r="62" spans="1:4" x14ac:dyDescent="0.35">
      <c r="A62" s="3" t="s">
        <v>432</v>
      </c>
      <c r="B62" s="188" t="s">
        <v>42</v>
      </c>
      <c r="C62" s="3" t="s">
        <v>165</v>
      </c>
      <c r="D62" s="187"/>
    </row>
    <row r="63" spans="1:4" x14ac:dyDescent="0.35">
      <c r="A63" s="3" t="s">
        <v>432</v>
      </c>
      <c r="B63" s="188" t="s">
        <v>50</v>
      </c>
      <c r="C63" s="3" t="s">
        <v>157</v>
      </c>
    </row>
    <row r="64" spans="1:4" x14ac:dyDescent="0.35">
      <c r="A64" s="3" t="s">
        <v>432</v>
      </c>
      <c r="B64" s="188" t="s">
        <v>51</v>
      </c>
      <c r="C64" s="3" t="s">
        <v>158</v>
      </c>
    </row>
    <row r="65" spans="1:3" x14ac:dyDescent="0.35">
      <c r="A65" s="3" t="s">
        <v>432</v>
      </c>
      <c r="B65" s="188" t="s">
        <v>4</v>
      </c>
      <c r="C65" s="3" t="s">
        <v>159</v>
      </c>
    </row>
    <row r="66" spans="1:3" x14ac:dyDescent="0.35">
      <c r="A66" s="3" t="s">
        <v>432</v>
      </c>
      <c r="B66" s="188" t="s">
        <v>56</v>
      </c>
      <c r="C66" s="3" t="s">
        <v>156</v>
      </c>
    </row>
    <row r="67" spans="1:3" x14ac:dyDescent="0.35">
      <c r="A67" s="3" t="s">
        <v>432</v>
      </c>
      <c r="B67" s="188" t="s">
        <v>59</v>
      </c>
      <c r="C67" s="3" t="s">
        <v>162</v>
      </c>
    </row>
    <row r="68" spans="1:3" x14ac:dyDescent="0.35">
      <c r="A68" s="3" t="s">
        <v>432</v>
      </c>
      <c r="B68" s="188" t="s">
        <v>61</v>
      </c>
      <c r="C68" s="3" t="s">
        <v>155</v>
      </c>
    </row>
    <row r="69" spans="1:3" x14ac:dyDescent="0.35">
      <c r="A69" s="3" t="s">
        <v>432</v>
      </c>
      <c r="B69" s="188" t="s">
        <v>6</v>
      </c>
      <c r="C69" s="3" t="s">
        <v>6</v>
      </c>
    </row>
    <row r="70" spans="1:3" x14ac:dyDescent="0.35">
      <c r="A70" s="3" t="s">
        <v>432</v>
      </c>
      <c r="B70" s="188" t="s">
        <v>63</v>
      </c>
      <c r="C70" s="3" t="s">
        <v>161</v>
      </c>
    </row>
    <row r="71" spans="1:3" x14ac:dyDescent="0.35">
      <c r="A71" s="3" t="s">
        <v>432</v>
      </c>
      <c r="B71" s="188" t="s">
        <v>65</v>
      </c>
      <c r="C71" s="3" t="s">
        <v>156</v>
      </c>
    </row>
    <row r="72" spans="1:3" x14ac:dyDescent="0.35">
      <c r="A72" s="3" t="s">
        <v>432</v>
      </c>
      <c r="B72" s="188" t="s">
        <v>67</v>
      </c>
      <c r="C72" s="3" t="s">
        <v>160</v>
      </c>
    </row>
    <row r="73" spans="1:3" x14ac:dyDescent="0.35">
      <c r="A73" s="3" t="s">
        <v>432</v>
      </c>
      <c r="B73" s="188" t="s">
        <v>68</v>
      </c>
      <c r="C73" s="3" t="s">
        <v>158</v>
      </c>
    </row>
    <row r="74" spans="1:3" x14ac:dyDescent="0.35">
      <c r="A74" s="3" t="s">
        <v>432</v>
      </c>
      <c r="B74" s="188" t="s">
        <v>71</v>
      </c>
      <c r="C74" s="3" t="s">
        <v>155</v>
      </c>
    </row>
    <row r="75" spans="1:3" x14ac:dyDescent="0.35">
      <c r="A75" s="3" t="s">
        <v>432</v>
      </c>
      <c r="B75" s="188" t="s">
        <v>76</v>
      </c>
      <c r="C75" s="3" t="s">
        <v>155</v>
      </c>
    </row>
    <row r="76" spans="1:3" x14ac:dyDescent="0.35">
      <c r="A76" s="3" t="s">
        <v>432</v>
      </c>
      <c r="B76" s="188" t="s">
        <v>77</v>
      </c>
      <c r="C76" s="3" t="s">
        <v>155</v>
      </c>
    </row>
    <row r="77" spans="1:3" x14ac:dyDescent="0.35">
      <c r="A77" s="3" t="s">
        <v>432</v>
      </c>
      <c r="B77" s="188" t="s">
        <v>82</v>
      </c>
      <c r="C77" s="3" t="s">
        <v>156</v>
      </c>
    </row>
    <row r="78" spans="1:3" x14ac:dyDescent="0.35">
      <c r="A78" s="3" t="s">
        <v>432</v>
      </c>
      <c r="B78" s="188" t="s">
        <v>7</v>
      </c>
      <c r="C78" s="3" t="s">
        <v>160</v>
      </c>
    </row>
    <row r="79" spans="1:3" x14ac:dyDescent="0.35">
      <c r="A79" s="3" t="s">
        <v>432</v>
      </c>
      <c r="B79" s="188" t="s">
        <v>86</v>
      </c>
      <c r="C79" s="3" t="s">
        <v>160</v>
      </c>
    </row>
    <row r="80" spans="1:3" x14ac:dyDescent="0.35">
      <c r="A80" s="3" t="s">
        <v>432</v>
      </c>
      <c r="B80" s="188" t="s">
        <v>89</v>
      </c>
      <c r="C80" s="3" t="s">
        <v>155</v>
      </c>
    </row>
    <row r="81" spans="1:3" x14ac:dyDescent="0.35">
      <c r="A81" s="3" t="s">
        <v>432</v>
      </c>
      <c r="B81" s="188" t="s">
        <v>96</v>
      </c>
      <c r="C81" s="3" t="s">
        <v>155</v>
      </c>
    </row>
    <row r="82" spans="1:3" x14ac:dyDescent="0.35">
      <c r="A82" s="3" t="s">
        <v>432</v>
      </c>
      <c r="B82" s="188" t="s">
        <v>97</v>
      </c>
      <c r="C82" s="3" t="s">
        <v>6</v>
      </c>
    </row>
    <row r="83" spans="1:3" x14ac:dyDescent="0.35">
      <c r="A83" s="3" t="s">
        <v>432</v>
      </c>
      <c r="B83" s="188" t="s">
        <v>98</v>
      </c>
      <c r="C83" s="3" t="s">
        <v>155</v>
      </c>
    </row>
    <row r="84" spans="1:3" x14ac:dyDescent="0.35">
      <c r="A84" s="3" t="s">
        <v>432</v>
      </c>
      <c r="B84" s="188" t="s">
        <v>100</v>
      </c>
      <c r="C84" s="3" t="s">
        <v>155</v>
      </c>
    </row>
    <row r="85" spans="1:3" x14ac:dyDescent="0.35">
      <c r="A85" s="3" t="s">
        <v>432</v>
      </c>
      <c r="B85" s="188" t="s">
        <v>103</v>
      </c>
      <c r="C85" s="3" t="s">
        <v>165</v>
      </c>
    </row>
    <row r="86" spans="1:3" x14ac:dyDescent="0.35">
      <c r="A86" s="3" t="s">
        <v>432</v>
      </c>
      <c r="B86" s="188" t="s">
        <v>106</v>
      </c>
      <c r="C86" s="3" t="s">
        <v>159</v>
      </c>
    </row>
    <row r="87" spans="1:3" x14ac:dyDescent="0.35">
      <c r="A87" s="3" t="s">
        <v>432</v>
      </c>
      <c r="B87" s="188" t="s">
        <v>108</v>
      </c>
      <c r="C87" s="3" t="s">
        <v>159</v>
      </c>
    </row>
    <row r="88" spans="1:3" x14ac:dyDescent="0.35">
      <c r="A88" s="3" t="s">
        <v>432</v>
      </c>
      <c r="B88" s="188" t="s">
        <v>110</v>
      </c>
      <c r="C88" s="3" t="s">
        <v>161</v>
      </c>
    </row>
    <row r="89" spans="1:3" x14ac:dyDescent="0.35">
      <c r="A89" s="3" t="s">
        <v>432</v>
      </c>
      <c r="B89" s="188" t="s">
        <v>442</v>
      </c>
      <c r="C89" s="3" t="s">
        <v>161</v>
      </c>
    </row>
    <row r="90" spans="1:3" x14ac:dyDescent="0.35">
      <c r="A90" s="3" t="s">
        <v>432</v>
      </c>
      <c r="B90" s="188" t="s">
        <v>111</v>
      </c>
      <c r="C90" s="3" t="s">
        <v>156</v>
      </c>
    </row>
    <row r="91" spans="1:3" x14ac:dyDescent="0.35">
      <c r="A91" s="3" t="s">
        <v>432</v>
      </c>
      <c r="B91" s="188" t="s">
        <v>9</v>
      </c>
      <c r="C91" s="3" t="s">
        <v>162</v>
      </c>
    </row>
    <row r="92" spans="1:3" x14ac:dyDescent="0.35">
      <c r="A92" s="3" t="s">
        <v>432</v>
      </c>
      <c r="B92" s="188" t="s">
        <v>115</v>
      </c>
      <c r="C92" s="3" t="s">
        <v>162</v>
      </c>
    </row>
    <row r="94" spans="1:3" ht="14.4" customHeight="1" x14ac:dyDescent="0.35"/>
  </sheetData>
  <sheetProtection algorithmName="SHA-512" hashValue="tkp/SbWLWIBAwr66YzU4q3+ALulk2fsxZORUU75heNrWR5M8x04oD7gv1zk2MMiFS0oo4yR6EPXhlJOx9MBfwg==" saltValue="BRWGNYFx+Zx5dj6ud79P+w==" spinCount="100000" sheet="1" objects="1" scenarios="1"/>
  <autoFilter ref="A2:C46" xr:uid="{658DE35E-A39E-436C-98D3-E739B619F36B}"/>
  <phoneticPr fontId="4" type="noConversion"/>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6549-45FF-4F48-8141-4D1CB1C9BFA8}">
  <dimension ref="A2:E146"/>
  <sheetViews>
    <sheetView zoomScale="85" zoomScaleNormal="85" workbookViewId="0">
      <pane ySplit="2" topLeftCell="A3" activePane="bottomLeft" state="frozen"/>
      <selection pane="bottomLeft" activeCell="E34" sqref="E34"/>
    </sheetView>
  </sheetViews>
  <sheetFormatPr defaultColWidth="8.90625" defaultRowHeight="14.5" x14ac:dyDescent="0.35"/>
  <cols>
    <col min="1" max="1" width="22.1796875" style="4" bestFit="1" customWidth="1"/>
    <col min="2" max="4" width="14.36328125" style="4" bestFit="1" customWidth="1"/>
    <col min="5" max="5" width="15.453125" style="183" customWidth="1"/>
    <col min="6" max="16384" width="8.90625" style="4"/>
  </cols>
  <sheetData>
    <row r="2" spans="1:5" s="47" customFormat="1" ht="26.5" x14ac:dyDescent="0.35">
      <c r="A2" s="152" t="s">
        <v>169</v>
      </c>
      <c r="B2" s="152" t="s">
        <v>170</v>
      </c>
      <c r="C2" s="152" t="s">
        <v>435</v>
      </c>
      <c r="D2" s="152" t="s">
        <v>436</v>
      </c>
      <c r="E2" s="184" t="s">
        <v>381</v>
      </c>
    </row>
    <row r="3" spans="1:5" x14ac:dyDescent="0.35">
      <c r="A3" s="48" t="s">
        <v>1</v>
      </c>
      <c r="B3" s="48" t="s">
        <v>1</v>
      </c>
      <c r="C3" s="48" t="s">
        <v>155</v>
      </c>
      <c r="D3" s="48" t="s">
        <v>438</v>
      </c>
      <c r="E3" s="48">
        <v>304</v>
      </c>
    </row>
    <row r="4" spans="1:5" x14ac:dyDescent="0.35">
      <c r="A4" s="48" t="s">
        <v>2</v>
      </c>
      <c r="B4" s="48" t="s">
        <v>2</v>
      </c>
      <c r="C4" s="48" t="s">
        <v>156</v>
      </c>
      <c r="D4" s="48" t="s">
        <v>437</v>
      </c>
      <c r="E4" s="48">
        <v>72</v>
      </c>
    </row>
    <row r="5" spans="1:5" x14ac:dyDescent="0.35">
      <c r="A5" s="48" t="s">
        <v>5</v>
      </c>
      <c r="B5" s="48" t="s">
        <v>5</v>
      </c>
      <c r="C5" s="48" t="s">
        <v>157</v>
      </c>
      <c r="D5" s="48" t="s">
        <v>438</v>
      </c>
      <c r="E5" s="48">
        <v>60</v>
      </c>
    </row>
    <row r="6" spans="1:5" x14ac:dyDescent="0.35">
      <c r="A6" s="48" t="s">
        <v>3</v>
      </c>
      <c r="B6" s="48" t="s">
        <v>51</v>
      </c>
      <c r="C6" s="48" t="s">
        <v>158</v>
      </c>
      <c r="D6" s="48" t="s">
        <v>437</v>
      </c>
      <c r="E6" s="48">
        <v>25</v>
      </c>
    </row>
    <row r="7" spans="1:5" x14ac:dyDescent="0.35">
      <c r="A7" s="48" t="s">
        <v>4</v>
      </c>
      <c r="B7" s="48" t="s">
        <v>4</v>
      </c>
      <c r="C7" s="48" t="s">
        <v>159</v>
      </c>
      <c r="D7" s="48" t="s">
        <v>440</v>
      </c>
      <c r="E7" s="48">
        <v>101</v>
      </c>
    </row>
    <row r="8" spans="1:5" x14ac:dyDescent="0.35">
      <c r="A8" s="48" t="s">
        <v>6</v>
      </c>
      <c r="B8" s="48" t="s">
        <v>6</v>
      </c>
      <c r="C8" s="48" t="s">
        <v>6</v>
      </c>
      <c r="D8" s="48" t="s">
        <v>176</v>
      </c>
      <c r="E8" s="48">
        <v>68</v>
      </c>
    </row>
    <row r="9" spans="1:5" x14ac:dyDescent="0.35">
      <c r="A9" s="48" t="s">
        <v>7</v>
      </c>
      <c r="B9" s="48" t="s">
        <v>7</v>
      </c>
      <c r="C9" s="48" t="s">
        <v>160</v>
      </c>
      <c r="D9" s="48" t="s">
        <v>437</v>
      </c>
      <c r="E9" s="48">
        <v>18</v>
      </c>
    </row>
    <row r="10" spans="1:5" x14ac:dyDescent="0.35">
      <c r="A10" s="48" t="s">
        <v>8</v>
      </c>
      <c r="B10" s="48" t="s">
        <v>442</v>
      </c>
      <c r="C10" s="48" t="s">
        <v>161</v>
      </c>
      <c r="D10" s="48" t="s">
        <v>439</v>
      </c>
      <c r="E10" s="48">
        <v>19</v>
      </c>
    </row>
    <row r="11" spans="1:5" x14ac:dyDescent="0.35">
      <c r="A11" s="48" t="s">
        <v>9</v>
      </c>
      <c r="B11" s="48" t="s">
        <v>9</v>
      </c>
      <c r="C11" s="48" t="s">
        <v>162</v>
      </c>
      <c r="D11" s="48" t="s">
        <v>440</v>
      </c>
      <c r="E11" s="48">
        <v>58</v>
      </c>
    </row>
    <row r="12" spans="1:5" x14ac:dyDescent="0.35">
      <c r="A12" s="48" t="s">
        <v>10</v>
      </c>
      <c r="B12" s="48" t="s">
        <v>82</v>
      </c>
      <c r="C12" s="48" t="s">
        <v>156</v>
      </c>
      <c r="D12" s="48" t="s">
        <v>437</v>
      </c>
      <c r="E12" s="48">
        <v>393</v>
      </c>
    </row>
    <row r="13" spans="1:5" x14ac:dyDescent="0.35">
      <c r="A13" s="48" t="s">
        <v>11</v>
      </c>
      <c r="B13" s="48" t="s">
        <v>11</v>
      </c>
      <c r="C13" s="48" t="s">
        <v>158</v>
      </c>
      <c r="D13" s="48" t="s">
        <v>438</v>
      </c>
      <c r="E13" s="48">
        <v>102</v>
      </c>
    </row>
    <row r="14" spans="1:5" ht="20" x14ac:dyDescent="0.35">
      <c r="A14" s="48" t="s">
        <v>12</v>
      </c>
      <c r="B14" s="48" t="s">
        <v>441</v>
      </c>
      <c r="C14" s="48" t="s">
        <v>6</v>
      </c>
      <c r="D14" s="48" t="s">
        <v>176</v>
      </c>
      <c r="E14" s="48">
        <v>640</v>
      </c>
    </row>
    <row r="15" spans="1:5" x14ac:dyDescent="0.35">
      <c r="A15" s="48" t="s">
        <v>13</v>
      </c>
      <c r="B15" s="48" t="s">
        <v>51</v>
      </c>
      <c r="C15" s="48" t="s">
        <v>158</v>
      </c>
      <c r="D15" s="48" t="s">
        <v>437</v>
      </c>
      <c r="E15" s="48">
        <v>285</v>
      </c>
    </row>
    <row r="16" spans="1:5" x14ac:dyDescent="0.35">
      <c r="A16" s="48" t="s">
        <v>14</v>
      </c>
      <c r="B16" s="48" t="s">
        <v>63</v>
      </c>
      <c r="C16" s="48" t="s">
        <v>161</v>
      </c>
      <c r="D16" s="48" t="s">
        <v>439</v>
      </c>
      <c r="E16" s="48">
        <v>631</v>
      </c>
    </row>
    <row r="17" spans="1:5" x14ac:dyDescent="0.35">
      <c r="A17" s="48" t="s">
        <v>15</v>
      </c>
      <c r="B17" s="48" t="s">
        <v>59</v>
      </c>
      <c r="C17" s="48" t="s">
        <v>162</v>
      </c>
      <c r="D17" s="48" t="s">
        <v>440</v>
      </c>
      <c r="E17" s="48">
        <v>191</v>
      </c>
    </row>
    <row r="18" spans="1:5" x14ac:dyDescent="0.35">
      <c r="A18" s="48" t="s">
        <v>16</v>
      </c>
      <c r="B18" s="48" t="s">
        <v>16</v>
      </c>
      <c r="C18" s="48" t="s">
        <v>165</v>
      </c>
      <c r="D18" s="48" t="s">
        <v>439</v>
      </c>
      <c r="E18" s="48">
        <v>1698</v>
      </c>
    </row>
    <row r="19" spans="1:5" x14ac:dyDescent="0.35">
      <c r="A19" s="48" t="s">
        <v>17</v>
      </c>
      <c r="B19" s="48" t="s">
        <v>31</v>
      </c>
      <c r="C19" s="48" t="s">
        <v>161</v>
      </c>
      <c r="D19" s="48" t="s">
        <v>439</v>
      </c>
      <c r="E19" s="48">
        <v>745</v>
      </c>
    </row>
    <row r="20" spans="1:5" x14ac:dyDescent="0.35">
      <c r="A20" s="48" t="s">
        <v>18</v>
      </c>
      <c r="B20" s="48" t="s">
        <v>103</v>
      </c>
      <c r="C20" s="48" t="s">
        <v>165</v>
      </c>
      <c r="D20" s="48" t="s">
        <v>439</v>
      </c>
      <c r="E20" s="48">
        <v>545</v>
      </c>
    </row>
    <row r="21" spans="1:5" x14ac:dyDescent="0.35">
      <c r="A21" s="48" t="s">
        <v>19</v>
      </c>
      <c r="B21" s="48" t="s">
        <v>35</v>
      </c>
      <c r="C21" s="48" t="s">
        <v>157</v>
      </c>
      <c r="D21" s="48" t="s">
        <v>438</v>
      </c>
      <c r="E21" s="48">
        <v>517</v>
      </c>
    </row>
    <row r="22" spans="1:5" x14ac:dyDescent="0.35">
      <c r="A22" s="48" t="s">
        <v>20</v>
      </c>
      <c r="B22" s="48" t="s">
        <v>20</v>
      </c>
      <c r="C22" s="48" t="s">
        <v>155</v>
      </c>
      <c r="D22" s="48" t="s">
        <v>438</v>
      </c>
      <c r="E22" s="48">
        <v>163</v>
      </c>
    </row>
    <row r="23" spans="1:5" x14ac:dyDescent="0.35">
      <c r="A23" s="48" t="s">
        <v>21</v>
      </c>
      <c r="B23" s="48" t="s">
        <v>71</v>
      </c>
      <c r="C23" s="48" t="s">
        <v>155</v>
      </c>
      <c r="D23" s="48" t="s">
        <v>438</v>
      </c>
      <c r="E23" s="48">
        <v>243</v>
      </c>
    </row>
    <row r="24" spans="1:5" x14ac:dyDescent="0.35">
      <c r="A24" s="48" t="s">
        <v>22</v>
      </c>
      <c r="B24" s="48" t="s">
        <v>61</v>
      </c>
      <c r="C24" s="48" t="s">
        <v>155</v>
      </c>
      <c r="D24" s="48" t="s">
        <v>438</v>
      </c>
      <c r="E24" s="48">
        <v>179</v>
      </c>
    </row>
    <row r="25" spans="1:5" x14ac:dyDescent="0.35">
      <c r="A25" s="48" t="s">
        <v>23</v>
      </c>
      <c r="B25" s="48" t="s">
        <v>24</v>
      </c>
      <c r="C25" s="48" t="s">
        <v>165</v>
      </c>
      <c r="D25" s="48" t="s">
        <v>439</v>
      </c>
      <c r="E25" s="48">
        <v>186</v>
      </c>
    </row>
    <row r="26" spans="1:5" x14ac:dyDescent="0.35">
      <c r="A26" s="48" t="s">
        <v>24</v>
      </c>
      <c r="B26" s="48" t="s">
        <v>24</v>
      </c>
      <c r="C26" s="48" t="s">
        <v>165</v>
      </c>
      <c r="D26" s="48" t="s">
        <v>439</v>
      </c>
      <c r="E26" s="48">
        <v>1045</v>
      </c>
    </row>
    <row r="27" spans="1:5" x14ac:dyDescent="0.35">
      <c r="A27" s="48" t="s">
        <v>25</v>
      </c>
      <c r="B27" s="48" t="s">
        <v>25</v>
      </c>
      <c r="C27" s="48" t="s">
        <v>157</v>
      </c>
      <c r="D27" s="48" t="s">
        <v>438</v>
      </c>
      <c r="E27" s="48">
        <v>786</v>
      </c>
    </row>
    <row r="28" spans="1:5" x14ac:dyDescent="0.35">
      <c r="A28" s="48" t="s">
        <v>26</v>
      </c>
      <c r="B28" s="48" t="s">
        <v>442</v>
      </c>
      <c r="C28" s="48" t="s">
        <v>161</v>
      </c>
      <c r="D28" s="48" t="s">
        <v>439</v>
      </c>
      <c r="E28" s="48">
        <v>301</v>
      </c>
    </row>
    <row r="29" spans="1:5" x14ac:dyDescent="0.35">
      <c r="A29" s="48" t="s">
        <v>27</v>
      </c>
      <c r="B29" s="48" t="s">
        <v>97</v>
      </c>
      <c r="C29" s="48" t="s">
        <v>6</v>
      </c>
      <c r="D29" s="48" t="s">
        <v>176</v>
      </c>
      <c r="E29" s="48">
        <v>496</v>
      </c>
    </row>
    <row r="30" spans="1:5" x14ac:dyDescent="0.35">
      <c r="A30" s="48" t="s">
        <v>28</v>
      </c>
      <c r="B30" s="48" t="s">
        <v>442</v>
      </c>
      <c r="C30" s="48" t="s">
        <v>161</v>
      </c>
      <c r="D30" s="48" t="s">
        <v>439</v>
      </c>
      <c r="E30" s="48">
        <v>702</v>
      </c>
    </row>
    <row r="31" spans="1:5" x14ac:dyDescent="0.35">
      <c r="A31" s="48" t="s">
        <v>29</v>
      </c>
      <c r="B31" s="48" t="s">
        <v>20</v>
      </c>
      <c r="C31" s="48" t="s">
        <v>155</v>
      </c>
      <c r="D31" s="48" t="s">
        <v>438</v>
      </c>
      <c r="E31" s="48">
        <v>81</v>
      </c>
    </row>
    <row r="32" spans="1:5" x14ac:dyDescent="0.35">
      <c r="A32" s="48" t="s">
        <v>30</v>
      </c>
      <c r="B32" s="48" t="s">
        <v>68</v>
      </c>
      <c r="C32" s="48" t="s">
        <v>158</v>
      </c>
      <c r="D32" s="48" t="s">
        <v>439</v>
      </c>
      <c r="E32" s="48">
        <v>190</v>
      </c>
    </row>
    <row r="33" spans="1:5" x14ac:dyDescent="0.35">
      <c r="A33" s="48" t="s">
        <v>31</v>
      </c>
      <c r="B33" s="48" t="s">
        <v>31</v>
      </c>
      <c r="C33" s="48" t="s">
        <v>161</v>
      </c>
      <c r="D33" s="48" t="s">
        <v>439</v>
      </c>
      <c r="E33" s="48">
        <v>173</v>
      </c>
    </row>
    <row r="34" spans="1:5" x14ac:dyDescent="0.35">
      <c r="A34" s="48" t="s">
        <v>32</v>
      </c>
      <c r="B34" s="48" t="s">
        <v>67</v>
      </c>
      <c r="C34" s="48" t="s">
        <v>160</v>
      </c>
      <c r="D34" s="48" t="s">
        <v>437</v>
      </c>
      <c r="E34" s="48">
        <v>510</v>
      </c>
    </row>
    <row r="35" spans="1:5" x14ac:dyDescent="0.35">
      <c r="A35" s="48" t="s">
        <v>33</v>
      </c>
      <c r="B35" s="48" t="s">
        <v>56</v>
      </c>
      <c r="C35" s="48" t="s">
        <v>156</v>
      </c>
      <c r="D35" s="48" t="s">
        <v>437</v>
      </c>
      <c r="E35" s="48">
        <v>950</v>
      </c>
    </row>
    <row r="36" spans="1:5" ht="20" x14ac:dyDescent="0.35">
      <c r="A36" s="48" t="s">
        <v>34</v>
      </c>
      <c r="B36" s="48" t="s">
        <v>443</v>
      </c>
      <c r="C36" s="48" t="s">
        <v>156</v>
      </c>
      <c r="D36" s="48" t="s">
        <v>437</v>
      </c>
      <c r="E36" s="48">
        <v>1876</v>
      </c>
    </row>
    <row r="37" spans="1:5" x14ac:dyDescent="0.35">
      <c r="A37" s="48" t="s">
        <v>35</v>
      </c>
      <c r="B37" s="48" t="s">
        <v>35</v>
      </c>
      <c r="C37" s="48" t="s">
        <v>157</v>
      </c>
      <c r="D37" s="48" t="s">
        <v>438</v>
      </c>
      <c r="E37" s="48">
        <v>888</v>
      </c>
    </row>
    <row r="38" spans="1:5" x14ac:dyDescent="0.35">
      <c r="A38" s="48" t="s">
        <v>36</v>
      </c>
      <c r="B38" s="48" t="s">
        <v>106</v>
      </c>
      <c r="C38" s="48" t="s">
        <v>159</v>
      </c>
      <c r="D38" s="48" t="s">
        <v>440</v>
      </c>
      <c r="E38" s="48">
        <v>676</v>
      </c>
    </row>
    <row r="39" spans="1:5" ht="20" x14ac:dyDescent="0.35">
      <c r="A39" s="48" t="s">
        <v>37</v>
      </c>
      <c r="B39" s="48" t="s">
        <v>441</v>
      </c>
      <c r="C39" s="48" t="s">
        <v>6</v>
      </c>
      <c r="D39" s="48" t="s">
        <v>176</v>
      </c>
      <c r="E39" s="48">
        <v>320</v>
      </c>
    </row>
    <row r="40" spans="1:5" x14ac:dyDescent="0.35">
      <c r="A40" s="48" t="s">
        <v>38</v>
      </c>
      <c r="B40" s="48" t="s">
        <v>108</v>
      </c>
      <c r="C40" s="48" t="s">
        <v>159</v>
      </c>
      <c r="D40" s="48" t="s">
        <v>440</v>
      </c>
      <c r="E40" s="48">
        <v>396</v>
      </c>
    </row>
    <row r="41" spans="1:5" x14ac:dyDescent="0.35">
      <c r="A41" s="48" t="s">
        <v>39</v>
      </c>
      <c r="B41" s="48" t="s">
        <v>68</v>
      </c>
      <c r="C41" s="48" t="s">
        <v>158</v>
      </c>
      <c r="D41" s="48" t="s">
        <v>439</v>
      </c>
      <c r="E41" s="48">
        <v>379</v>
      </c>
    </row>
    <row r="42" spans="1:5" x14ac:dyDescent="0.35">
      <c r="A42" s="48" t="s">
        <v>40</v>
      </c>
      <c r="B42" s="48" t="s">
        <v>89</v>
      </c>
      <c r="C42" s="48" t="s">
        <v>155</v>
      </c>
      <c r="D42" s="48" t="s">
        <v>438</v>
      </c>
      <c r="E42" s="48">
        <v>152</v>
      </c>
    </row>
    <row r="43" spans="1:5" ht="20" x14ac:dyDescent="0.35">
      <c r="A43" s="48" t="s">
        <v>41</v>
      </c>
      <c r="B43" s="48" t="s">
        <v>441</v>
      </c>
      <c r="C43" s="48" t="s">
        <v>6</v>
      </c>
      <c r="D43" s="48" t="s">
        <v>176</v>
      </c>
      <c r="E43" s="48">
        <v>490</v>
      </c>
    </row>
    <row r="44" spans="1:5" x14ac:dyDescent="0.35">
      <c r="A44" s="48" t="s">
        <v>42</v>
      </c>
      <c r="B44" s="48" t="s">
        <v>42</v>
      </c>
      <c r="C44" s="48" t="s">
        <v>165</v>
      </c>
      <c r="D44" s="48" t="s">
        <v>439</v>
      </c>
      <c r="E44" s="48">
        <v>1872</v>
      </c>
    </row>
    <row r="45" spans="1:5" x14ac:dyDescent="0.35">
      <c r="A45" s="48" t="s">
        <v>43</v>
      </c>
      <c r="B45" s="48" t="s">
        <v>25</v>
      </c>
      <c r="C45" s="48" t="s">
        <v>157</v>
      </c>
      <c r="D45" s="48" t="s">
        <v>438</v>
      </c>
      <c r="E45" s="48">
        <v>312</v>
      </c>
    </row>
    <row r="46" spans="1:5" x14ac:dyDescent="0.35">
      <c r="A46" s="48" t="s">
        <v>44</v>
      </c>
      <c r="B46" s="48" t="s">
        <v>76</v>
      </c>
      <c r="C46" s="48" t="s">
        <v>155</v>
      </c>
      <c r="D46" s="48" t="s">
        <v>438</v>
      </c>
      <c r="E46" s="48">
        <v>131</v>
      </c>
    </row>
    <row r="47" spans="1:5" ht="20" x14ac:dyDescent="0.35">
      <c r="A47" s="48" t="s">
        <v>45</v>
      </c>
      <c r="B47" s="48" t="s">
        <v>443</v>
      </c>
      <c r="C47" s="48" t="s">
        <v>156</v>
      </c>
      <c r="D47" s="48" t="s">
        <v>437</v>
      </c>
      <c r="E47" s="48">
        <v>647</v>
      </c>
    </row>
    <row r="48" spans="1:5" x14ac:dyDescent="0.35">
      <c r="A48" s="48" t="s">
        <v>46</v>
      </c>
      <c r="B48" s="48" t="s">
        <v>100</v>
      </c>
      <c r="C48" s="48" t="s">
        <v>155</v>
      </c>
      <c r="D48" s="48" t="s">
        <v>438</v>
      </c>
      <c r="E48" s="48">
        <v>112</v>
      </c>
    </row>
    <row r="49" spans="1:5" x14ac:dyDescent="0.35">
      <c r="A49" s="48" t="s">
        <v>47</v>
      </c>
      <c r="B49" s="48" t="s">
        <v>11</v>
      </c>
      <c r="C49" s="48" t="s">
        <v>158</v>
      </c>
      <c r="D49" s="48" t="s">
        <v>438</v>
      </c>
      <c r="E49" s="48">
        <v>684</v>
      </c>
    </row>
    <row r="50" spans="1:5" x14ac:dyDescent="0.35">
      <c r="A50" s="48" t="s">
        <v>48</v>
      </c>
      <c r="B50" s="48" t="s">
        <v>31</v>
      </c>
      <c r="C50" s="48" t="s">
        <v>161</v>
      </c>
      <c r="D50" s="48" t="s">
        <v>439</v>
      </c>
      <c r="E50" s="48">
        <v>251</v>
      </c>
    </row>
    <row r="51" spans="1:5" x14ac:dyDescent="0.35">
      <c r="A51" s="48" t="s">
        <v>49</v>
      </c>
      <c r="B51" s="48" t="s">
        <v>108</v>
      </c>
      <c r="C51" s="48" t="s">
        <v>159</v>
      </c>
      <c r="D51" s="48" t="s">
        <v>440</v>
      </c>
      <c r="E51" s="48">
        <v>209</v>
      </c>
    </row>
    <row r="52" spans="1:5" x14ac:dyDescent="0.35">
      <c r="A52" s="48" t="s">
        <v>50</v>
      </c>
      <c r="B52" s="48" t="s">
        <v>50</v>
      </c>
      <c r="C52" s="48" t="s">
        <v>157</v>
      </c>
      <c r="D52" s="48" t="s">
        <v>438</v>
      </c>
      <c r="E52" s="48">
        <v>1317</v>
      </c>
    </row>
    <row r="53" spans="1:5" x14ac:dyDescent="0.35">
      <c r="A53" s="48" t="s">
        <v>51</v>
      </c>
      <c r="B53" s="48" t="s">
        <v>51</v>
      </c>
      <c r="C53" s="48" t="s">
        <v>158</v>
      </c>
      <c r="D53" s="48" t="s">
        <v>437</v>
      </c>
      <c r="E53" s="48">
        <v>905</v>
      </c>
    </row>
    <row r="54" spans="1:5" x14ac:dyDescent="0.35">
      <c r="A54" s="48" t="s">
        <v>52</v>
      </c>
      <c r="B54" s="48" t="s">
        <v>108</v>
      </c>
      <c r="C54" s="48" t="s">
        <v>159</v>
      </c>
      <c r="D54" s="48" t="s">
        <v>440</v>
      </c>
      <c r="E54" s="48">
        <v>649</v>
      </c>
    </row>
    <row r="55" spans="1:5" x14ac:dyDescent="0.35">
      <c r="A55" s="48" t="s">
        <v>53</v>
      </c>
      <c r="B55" s="48" t="s">
        <v>67</v>
      </c>
      <c r="C55" s="48" t="s">
        <v>160</v>
      </c>
      <c r="D55" s="48" t="s">
        <v>437</v>
      </c>
      <c r="E55" s="48">
        <v>628</v>
      </c>
    </row>
    <row r="56" spans="1:5" x14ac:dyDescent="0.35">
      <c r="A56" s="48" t="s">
        <v>54</v>
      </c>
      <c r="B56" s="48" t="s">
        <v>442</v>
      </c>
      <c r="C56" s="48" t="s">
        <v>161</v>
      </c>
      <c r="D56" s="48" t="s">
        <v>439</v>
      </c>
      <c r="E56" s="48">
        <v>499</v>
      </c>
    </row>
    <row r="57" spans="1:5" x14ac:dyDescent="0.35">
      <c r="A57" s="48" t="s">
        <v>55</v>
      </c>
      <c r="B57" s="48" t="s">
        <v>11</v>
      </c>
      <c r="C57" s="48" t="s">
        <v>158</v>
      </c>
      <c r="D57" s="48" t="s">
        <v>438</v>
      </c>
      <c r="E57" s="48">
        <v>361</v>
      </c>
    </row>
    <row r="58" spans="1:5" x14ac:dyDescent="0.35">
      <c r="A58" s="48" t="s">
        <v>56</v>
      </c>
      <c r="B58" s="48" t="s">
        <v>56</v>
      </c>
      <c r="C58" s="48" t="s">
        <v>156</v>
      </c>
      <c r="D58" s="48" t="s">
        <v>437</v>
      </c>
      <c r="E58" s="48">
        <v>1079</v>
      </c>
    </row>
    <row r="59" spans="1:5" x14ac:dyDescent="0.35">
      <c r="A59" s="48" t="s">
        <v>57</v>
      </c>
      <c r="B59" s="48" t="s">
        <v>100</v>
      </c>
      <c r="C59" s="48" t="s">
        <v>161</v>
      </c>
      <c r="D59" s="48" t="s">
        <v>438</v>
      </c>
      <c r="E59" s="48">
        <v>341</v>
      </c>
    </row>
    <row r="60" spans="1:5" x14ac:dyDescent="0.35">
      <c r="A60" s="48" t="s">
        <v>58</v>
      </c>
      <c r="B60" s="48" t="s">
        <v>51</v>
      </c>
      <c r="C60" s="48" t="s">
        <v>158</v>
      </c>
      <c r="D60" s="48" t="s">
        <v>437</v>
      </c>
      <c r="E60" s="48">
        <v>811</v>
      </c>
    </row>
    <row r="61" spans="1:5" x14ac:dyDescent="0.35">
      <c r="A61" s="48" t="s">
        <v>59</v>
      </c>
      <c r="B61" s="48" t="s">
        <v>59</v>
      </c>
      <c r="C61" s="48" t="s">
        <v>162</v>
      </c>
      <c r="D61" s="48" t="s">
        <v>440</v>
      </c>
      <c r="E61" s="48">
        <v>1757</v>
      </c>
    </row>
    <row r="62" spans="1:5" x14ac:dyDescent="0.35">
      <c r="A62" s="48" t="s">
        <v>60</v>
      </c>
      <c r="B62" s="48" t="s">
        <v>76</v>
      </c>
      <c r="C62" s="48" t="s">
        <v>155</v>
      </c>
      <c r="D62" s="48" t="s">
        <v>438</v>
      </c>
      <c r="E62" s="48">
        <v>492</v>
      </c>
    </row>
    <row r="63" spans="1:5" x14ac:dyDescent="0.35">
      <c r="A63" s="48" t="s">
        <v>61</v>
      </c>
      <c r="B63" s="48" t="s">
        <v>61</v>
      </c>
      <c r="C63" s="48" t="s">
        <v>155</v>
      </c>
      <c r="D63" s="48" t="s">
        <v>438</v>
      </c>
      <c r="E63" s="48">
        <v>275</v>
      </c>
    </row>
    <row r="64" spans="1:5" x14ac:dyDescent="0.35">
      <c r="A64" s="48" t="s">
        <v>62</v>
      </c>
      <c r="B64" s="48" t="s">
        <v>76</v>
      </c>
      <c r="C64" s="48" t="s">
        <v>155</v>
      </c>
      <c r="D64" s="48" t="s">
        <v>438</v>
      </c>
      <c r="E64" s="48">
        <v>225</v>
      </c>
    </row>
    <row r="65" spans="1:5" x14ac:dyDescent="0.35">
      <c r="A65" s="48" t="s">
        <v>63</v>
      </c>
      <c r="B65" s="48" t="s">
        <v>63</v>
      </c>
      <c r="C65" s="48" t="s">
        <v>158</v>
      </c>
      <c r="D65" s="48" t="s">
        <v>439</v>
      </c>
      <c r="E65" s="48">
        <v>1170</v>
      </c>
    </row>
    <row r="66" spans="1:5" x14ac:dyDescent="0.35">
      <c r="A66" s="48" t="s">
        <v>64</v>
      </c>
      <c r="B66" s="48" t="s">
        <v>31</v>
      </c>
      <c r="C66" s="48" t="s">
        <v>161</v>
      </c>
      <c r="D66" s="48" t="s">
        <v>439</v>
      </c>
      <c r="E66" s="48">
        <v>168</v>
      </c>
    </row>
    <row r="67" spans="1:5" x14ac:dyDescent="0.35">
      <c r="A67" s="48" t="s">
        <v>65</v>
      </c>
      <c r="B67" s="48" t="s">
        <v>65</v>
      </c>
      <c r="C67" s="48" t="s">
        <v>156</v>
      </c>
      <c r="D67" s="48" t="s">
        <v>437</v>
      </c>
      <c r="E67" s="48">
        <v>622</v>
      </c>
    </row>
    <row r="68" spans="1:5" x14ac:dyDescent="0.35">
      <c r="A68" s="48" t="s">
        <v>66</v>
      </c>
      <c r="B68" s="48" t="s">
        <v>68</v>
      </c>
      <c r="C68" s="48" t="s">
        <v>165</v>
      </c>
      <c r="D68" s="48" t="s">
        <v>439</v>
      </c>
      <c r="E68" s="48">
        <v>347</v>
      </c>
    </row>
    <row r="69" spans="1:5" x14ac:dyDescent="0.35">
      <c r="A69" s="48" t="s">
        <v>67</v>
      </c>
      <c r="B69" s="48" t="s">
        <v>67</v>
      </c>
      <c r="C69" s="48" t="s">
        <v>160</v>
      </c>
      <c r="D69" s="48" t="s">
        <v>437</v>
      </c>
      <c r="E69" s="48">
        <v>965</v>
      </c>
    </row>
    <row r="70" spans="1:5" x14ac:dyDescent="0.35">
      <c r="A70" s="48" t="s">
        <v>68</v>
      </c>
      <c r="B70" s="48" t="s">
        <v>68</v>
      </c>
      <c r="C70" s="48" t="s">
        <v>158</v>
      </c>
      <c r="D70" s="48" t="s">
        <v>439</v>
      </c>
      <c r="E70" s="48">
        <v>2159</v>
      </c>
    </row>
    <row r="71" spans="1:5" x14ac:dyDescent="0.35">
      <c r="A71" s="48" t="s">
        <v>69</v>
      </c>
      <c r="B71" s="48" t="s">
        <v>442</v>
      </c>
      <c r="C71" s="48" t="s">
        <v>161</v>
      </c>
      <c r="D71" s="48" t="s">
        <v>439</v>
      </c>
      <c r="E71" s="48">
        <v>417</v>
      </c>
    </row>
    <row r="72" spans="1:5" x14ac:dyDescent="0.35">
      <c r="A72" s="48" t="s">
        <v>70</v>
      </c>
      <c r="B72" s="48" t="s">
        <v>100</v>
      </c>
      <c r="C72" s="48" t="s">
        <v>155</v>
      </c>
      <c r="D72" s="48" t="s">
        <v>438</v>
      </c>
      <c r="E72" s="48">
        <v>221</v>
      </c>
    </row>
    <row r="73" spans="1:5" x14ac:dyDescent="0.35">
      <c r="A73" s="48" t="s">
        <v>71</v>
      </c>
      <c r="B73" s="48" t="s">
        <v>71</v>
      </c>
      <c r="C73" s="48" t="s">
        <v>155</v>
      </c>
      <c r="D73" s="48" t="s">
        <v>438</v>
      </c>
      <c r="E73" s="48">
        <v>104</v>
      </c>
    </row>
    <row r="74" spans="1:5" x14ac:dyDescent="0.35">
      <c r="A74" s="48" t="s">
        <v>72</v>
      </c>
      <c r="B74" s="48" t="s">
        <v>106</v>
      </c>
      <c r="C74" s="48" t="s">
        <v>159</v>
      </c>
      <c r="D74" s="48" t="s">
        <v>440</v>
      </c>
      <c r="E74" s="48">
        <v>110</v>
      </c>
    </row>
    <row r="75" spans="1:5" x14ac:dyDescent="0.35">
      <c r="A75" s="48" t="s">
        <v>73</v>
      </c>
      <c r="B75" s="48" t="s">
        <v>442</v>
      </c>
      <c r="C75" s="48" t="s">
        <v>161</v>
      </c>
      <c r="D75" s="48" t="s">
        <v>439</v>
      </c>
      <c r="E75" s="48">
        <v>281</v>
      </c>
    </row>
    <row r="76" spans="1:5" x14ac:dyDescent="0.35">
      <c r="A76" s="48" t="s">
        <v>74</v>
      </c>
      <c r="B76" s="48" t="s">
        <v>11</v>
      </c>
      <c r="C76" s="48" t="s">
        <v>158</v>
      </c>
      <c r="D76" s="48" t="s">
        <v>438</v>
      </c>
      <c r="E76" s="48">
        <v>645</v>
      </c>
    </row>
    <row r="77" spans="1:5" ht="20" x14ac:dyDescent="0.35">
      <c r="A77" s="48" t="s">
        <v>75</v>
      </c>
      <c r="B77" s="48" t="s">
        <v>441</v>
      </c>
      <c r="C77" s="48" t="s">
        <v>6</v>
      </c>
      <c r="D77" s="48" t="s">
        <v>176</v>
      </c>
      <c r="E77" s="48">
        <v>351</v>
      </c>
    </row>
    <row r="78" spans="1:5" x14ac:dyDescent="0.35">
      <c r="A78" s="48" t="s">
        <v>76</v>
      </c>
      <c r="B78" s="48" t="s">
        <v>76</v>
      </c>
      <c r="C78" s="48" t="s">
        <v>167</v>
      </c>
      <c r="D78" s="48" t="s">
        <v>438</v>
      </c>
      <c r="E78" s="48">
        <v>990</v>
      </c>
    </row>
    <row r="79" spans="1:5" x14ac:dyDescent="0.35">
      <c r="A79" s="48" t="s">
        <v>77</v>
      </c>
      <c r="B79" s="48" t="s">
        <v>77</v>
      </c>
      <c r="C79" s="48" t="s">
        <v>155</v>
      </c>
      <c r="D79" s="48" t="s">
        <v>438</v>
      </c>
      <c r="E79" s="48">
        <v>298</v>
      </c>
    </row>
    <row r="80" spans="1:5" x14ac:dyDescent="0.35">
      <c r="A80" s="48" t="s">
        <v>78</v>
      </c>
      <c r="B80" s="48" t="s">
        <v>50</v>
      </c>
      <c r="C80" s="48" t="s">
        <v>157</v>
      </c>
      <c r="D80" s="48" t="s">
        <v>438</v>
      </c>
      <c r="E80" s="48">
        <v>286</v>
      </c>
    </row>
    <row r="81" spans="1:5" x14ac:dyDescent="0.35">
      <c r="A81" s="48" t="s">
        <v>79</v>
      </c>
      <c r="B81" s="48" t="s">
        <v>31</v>
      </c>
      <c r="C81" s="48" t="s">
        <v>161</v>
      </c>
      <c r="D81" s="48" t="s">
        <v>439</v>
      </c>
      <c r="E81" s="48">
        <v>486</v>
      </c>
    </row>
    <row r="82" spans="1:5" ht="20" x14ac:dyDescent="0.35">
      <c r="A82" s="48" t="s">
        <v>80</v>
      </c>
      <c r="B82" s="48" t="s">
        <v>441</v>
      </c>
      <c r="C82" s="48" t="s">
        <v>6</v>
      </c>
      <c r="D82" s="48" t="s">
        <v>176</v>
      </c>
      <c r="E82" s="48">
        <v>515</v>
      </c>
    </row>
    <row r="83" spans="1:5" x14ac:dyDescent="0.35">
      <c r="A83" s="48" t="s">
        <v>81</v>
      </c>
      <c r="B83" s="48" t="s">
        <v>11</v>
      </c>
      <c r="C83" s="48" t="s">
        <v>158</v>
      </c>
      <c r="D83" s="48" t="s">
        <v>438</v>
      </c>
      <c r="E83" s="48">
        <v>376</v>
      </c>
    </row>
    <row r="84" spans="1:5" x14ac:dyDescent="0.35">
      <c r="A84" s="48" t="s">
        <v>82</v>
      </c>
      <c r="B84" s="48" t="s">
        <v>82</v>
      </c>
      <c r="C84" s="48" t="s">
        <v>156</v>
      </c>
      <c r="D84" s="48" t="s">
        <v>437</v>
      </c>
      <c r="E84" s="48">
        <v>364</v>
      </c>
    </row>
    <row r="85" spans="1:5" ht="20" x14ac:dyDescent="0.35">
      <c r="A85" s="48" t="s">
        <v>83</v>
      </c>
      <c r="B85" s="48" t="s">
        <v>441</v>
      </c>
      <c r="C85" s="48" t="s">
        <v>6</v>
      </c>
      <c r="D85" s="48" t="s">
        <v>176</v>
      </c>
      <c r="E85" s="48">
        <v>520</v>
      </c>
    </row>
    <row r="86" spans="1:5" x14ac:dyDescent="0.35">
      <c r="A86" s="48" t="s">
        <v>84</v>
      </c>
      <c r="B86" s="48" t="s">
        <v>31</v>
      </c>
      <c r="C86" s="48" t="s">
        <v>161</v>
      </c>
      <c r="D86" s="48" t="s">
        <v>439</v>
      </c>
      <c r="E86" s="48">
        <v>301</v>
      </c>
    </row>
    <row r="87" spans="1:5" x14ac:dyDescent="0.35">
      <c r="A87" s="48" t="s">
        <v>85</v>
      </c>
      <c r="B87" s="48" t="s">
        <v>103</v>
      </c>
      <c r="C87" s="48" t="s">
        <v>161</v>
      </c>
      <c r="D87" s="48" t="s">
        <v>439</v>
      </c>
      <c r="E87" s="48">
        <v>309</v>
      </c>
    </row>
    <row r="88" spans="1:5" x14ac:dyDescent="0.35">
      <c r="A88" s="48" t="s">
        <v>86</v>
      </c>
      <c r="B88" s="48" t="s">
        <v>86</v>
      </c>
      <c r="C88" s="48" t="s">
        <v>160</v>
      </c>
      <c r="D88" s="48" t="s">
        <v>437</v>
      </c>
      <c r="E88" s="48">
        <v>2525</v>
      </c>
    </row>
    <row r="89" spans="1:5" x14ac:dyDescent="0.35">
      <c r="A89" s="48" t="s">
        <v>87</v>
      </c>
      <c r="B89" s="48" t="s">
        <v>82</v>
      </c>
      <c r="C89" s="48" t="s">
        <v>156</v>
      </c>
      <c r="D89" s="48" t="s">
        <v>437</v>
      </c>
      <c r="E89" s="48">
        <v>630</v>
      </c>
    </row>
    <row r="90" spans="1:5" x14ac:dyDescent="0.35">
      <c r="A90" s="48" t="s">
        <v>88</v>
      </c>
      <c r="B90" s="48" t="s">
        <v>106</v>
      </c>
      <c r="C90" s="48" t="s">
        <v>159</v>
      </c>
      <c r="D90" s="48" t="s">
        <v>440</v>
      </c>
      <c r="E90" s="48">
        <v>200</v>
      </c>
    </row>
    <row r="91" spans="1:5" x14ac:dyDescent="0.35">
      <c r="A91" s="48" t="s">
        <v>89</v>
      </c>
      <c r="B91" s="48" t="s">
        <v>89</v>
      </c>
      <c r="C91" s="48" t="s">
        <v>155</v>
      </c>
      <c r="D91" s="48" t="s">
        <v>438</v>
      </c>
      <c r="E91" s="48">
        <v>325</v>
      </c>
    </row>
    <row r="92" spans="1:5" ht="20" x14ac:dyDescent="0.35">
      <c r="A92" s="48" t="s">
        <v>90</v>
      </c>
      <c r="B92" s="48" t="s">
        <v>441</v>
      </c>
      <c r="C92" s="48" t="s">
        <v>6</v>
      </c>
      <c r="D92" s="48" t="s">
        <v>176</v>
      </c>
      <c r="E92" s="48">
        <v>448</v>
      </c>
    </row>
    <row r="93" spans="1:5" x14ac:dyDescent="0.35">
      <c r="A93" s="48" t="s">
        <v>91</v>
      </c>
      <c r="B93" s="48" t="s">
        <v>24</v>
      </c>
      <c r="C93" s="48" t="s">
        <v>165</v>
      </c>
      <c r="D93" s="48" t="s">
        <v>439</v>
      </c>
      <c r="E93" s="48">
        <v>515</v>
      </c>
    </row>
    <row r="94" spans="1:5" x14ac:dyDescent="0.35">
      <c r="A94" s="48" t="s">
        <v>92</v>
      </c>
      <c r="B94" s="48" t="s">
        <v>25</v>
      </c>
      <c r="C94" s="48" t="s">
        <v>157</v>
      </c>
      <c r="D94" s="48" t="s">
        <v>438</v>
      </c>
      <c r="E94" s="48">
        <v>231</v>
      </c>
    </row>
    <row r="95" spans="1:5" x14ac:dyDescent="0.35">
      <c r="A95" s="48" t="s">
        <v>93</v>
      </c>
      <c r="B95" s="48" t="s">
        <v>442</v>
      </c>
      <c r="C95" s="48" t="s">
        <v>161</v>
      </c>
      <c r="D95" s="48" t="s">
        <v>439</v>
      </c>
      <c r="E95" s="48">
        <v>353</v>
      </c>
    </row>
    <row r="96" spans="1:5" x14ac:dyDescent="0.35">
      <c r="A96" s="48" t="s">
        <v>94</v>
      </c>
      <c r="B96" s="48" t="s">
        <v>63</v>
      </c>
      <c r="C96" s="48" t="s">
        <v>161</v>
      </c>
      <c r="D96" s="48" t="s">
        <v>439</v>
      </c>
      <c r="E96" s="48">
        <v>638</v>
      </c>
    </row>
    <row r="97" spans="1:5" x14ac:dyDescent="0.35">
      <c r="A97" s="48" t="s">
        <v>95</v>
      </c>
      <c r="B97" s="48" t="s">
        <v>51</v>
      </c>
      <c r="C97" s="48" t="s">
        <v>158</v>
      </c>
      <c r="D97" s="48" t="s">
        <v>437</v>
      </c>
      <c r="E97" s="48">
        <v>317</v>
      </c>
    </row>
    <row r="98" spans="1:5" x14ac:dyDescent="0.35">
      <c r="A98" s="48" t="s">
        <v>96</v>
      </c>
      <c r="B98" s="48" t="s">
        <v>96</v>
      </c>
      <c r="C98" s="48" t="s">
        <v>155</v>
      </c>
      <c r="D98" s="48" t="s">
        <v>438</v>
      </c>
      <c r="E98" s="48">
        <v>123</v>
      </c>
    </row>
    <row r="99" spans="1:5" x14ac:dyDescent="0.35">
      <c r="A99" s="48" t="s">
        <v>97</v>
      </c>
      <c r="B99" s="48" t="s">
        <v>97</v>
      </c>
      <c r="C99" s="48" t="s">
        <v>6</v>
      </c>
      <c r="D99" s="48" t="s">
        <v>176</v>
      </c>
      <c r="E99" s="48">
        <v>1682</v>
      </c>
    </row>
    <row r="100" spans="1:5" x14ac:dyDescent="0.35">
      <c r="A100" s="48" t="s">
        <v>98</v>
      </c>
      <c r="B100" s="48" t="s">
        <v>98</v>
      </c>
      <c r="C100" s="48" t="s">
        <v>155</v>
      </c>
      <c r="D100" s="48" t="s">
        <v>439</v>
      </c>
      <c r="E100" s="48">
        <v>48</v>
      </c>
    </row>
    <row r="101" spans="1:5" x14ac:dyDescent="0.35">
      <c r="A101" s="48" t="s">
        <v>99</v>
      </c>
      <c r="B101" s="48" t="s">
        <v>98</v>
      </c>
      <c r="C101" s="48" t="s">
        <v>155</v>
      </c>
      <c r="D101" s="48" t="s">
        <v>439</v>
      </c>
      <c r="E101" s="48">
        <v>230</v>
      </c>
    </row>
    <row r="102" spans="1:5" x14ac:dyDescent="0.35">
      <c r="A102" s="48" t="s">
        <v>100</v>
      </c>
      <c r="B102" s="48" t="s">
        <v>100</v>
      </c>
      <c r="C102" s="48" t="s">
        <v>155</v>
      </c>
      <c r="D102" s="48" t="s">
        <v>438</v>
      </c>
      <c r="E102" s="48">
        <v>361</v>
      </c>
    </row>
    <row r="103" spans="1:5" x14ac:dyDescent="0.35">
      <c r="A103" s="48" t="s">
        <v>101</v>
      </c>
      <c r="B103" s="48" t="s">
        <v>11</v>
      </c>
      <c r="C103" s="48" t="s">
        <v>158</v>
      </c>
      <c r="D103" s="48" t="s">
        <v>438</v>
      </c>
      <c r="E103" s="48">
        <v>105</v>
      </c>
    </row>
    <row r="104" spans="1:5" x14ac:dyDescent="0.35">
      <c r="A104" s="48" t="s">
        <v>102</v>
      </c>
      <c r="B104" s="48" t="s">
        <v>59</v>
      </c>
      <c r="C104" s="48" t="s">
        <v>6</v>
      </c>
      <c r="D104" s="48" t="s">
        <v>440</v>
      </c>
      <c r="E104" s="48">
        <v>557</v>
      </c>
    </row>
    <row r="105" spans="1:5" x14ac:dyDescent="0.35">
      <c r="A105" s="48" t="s">
        <v>103</v>
      </c>
      <c r="B105" s="48" t="s">
        <v>103</v>
      </c>
      <c r="C105" s="48" t="s">
        <v>161</v>
      </c>
      <c r="D105" s="48" t="s">
        <v>439</v>
      </c>
      <c r="E105" s="48">
        <v>947</v>
      </c>
    </row>
    <row r="106" spans="1:5" x14ac:dyDescent="0.35">
      <c r="A106" s="48" t="s">
        <v>104</v>
      </c>
      <c r="B106" s="48" t="s">
        <v>89</v>
      </c>
      <c r="C106" s="48" t="s">
        <v>155</v>
      </c>
      <c r="D106" s="48" t="s">
        <v>438</v>
      </c>
      <c r="E106" s="48">
        <v>53</v>
      </c>
    </row>
    <row r="107" spans="1:5" x14ac:dyDescent="0.35">
      <c r="A107" s="48" t="s">
        <v>105</v>
      </c>
      <c r="B107" s="48" t="s">
        <v>442</v>
      </c>
      <c r="C107" s="48" t="s">
        <v>161</v>
      </c>
      <c r="D107" s="48" t="s">
        <v>439</v>
      </c>
      <c r="E107" s="48">
        <v>375</v>
      </c>
    </row>
    <row r="108" spans="1:5" x14ac:dyDescent="0.35">
      <c r="A108" s="48" t="s">
        <v>106</v>
      </c>
      <c r="B108" s="48" t="s">
        <v>106</v>
      </c>
      <c r="C108" s="48" t="s">
        <v>159</v>
      </c>
      <c r="D108" s="48" t="s">
        <v>440</v>
      </c>
      <c r="E108" s="48">
        <v>1763</v>
      </c>
    </row>
    <row r="109" spans="1:5" x14ac:dyDescent="0.35">
      <c r="A109" s="48" t="s">
        <v>107</v>
      </c>
      <c r="B109" s="48" t="s">
        <v>35</v>
      </c>
      <c r="C109" s="48" t="s">
        <v>157</v>
      </c>
      <c r="D109" s="48" t="s">
        <v>438</v>
      </c>
      <c r="E109" s="48">
        <v>224</v>
      </c>
    </row>
    <row r="110" spans="1:5" x14ac:dyDescent="0.35">
      <c r="A110" s="48" t="s">
        <v>108</v>
      </c>
      <c r="B110" s="48" t="s">
        <v>108</v>
      </c>
      <c r="C110" s="48" t="s">
        <v>159</v>
      </c>
      <c r="D110" s="48" t="s">
        <v>440</v>
      </c>
      <c r="E110" s="48">
        <v>1194</v>
      </c>
    </row>
    <row r="111" spans="1:5" ht="20" x14ac:dyDescent="0.35">
      <c r="A111" s="48" t="s">
        <v>109</v>
      </c>
      <c r="B111" s="48" t="s">
        <v>441</v>
      </c>
      <c r="C111" s="48" t="s">
        <v>6</v>
      </c>
      <c r="D111" s="48" t="s">
        <v>176</v>
      </c>
      <c r="E111" s="48">
        <v>307</v>
      </c>
    </row>
    <row r="112" spans="1:5" x14ac:dyDescent="0.35">
      <c r="A112" s="48" t="s">
        <v>110</v>
      </c>
      <c r="B112" s="48" t="s">
        <v>110</v>
      </c>
      <c r="C112" s="48" t="s">
        <v>161</v>
      </c>
      <c r="D112" s="48" t="s">
        <v>439</v>
      </c>
      <c r="E112" s="48">
        <v>908</v>
      </c>
    </row>
    <row r="113" spans="1:5" x14ac:dyDescent="0.35">
      <c r="A113" s="48" t="s">
        <v>111</v>
      </c>
      <c r="B113" s="48" t="s">
        <v>111</v>
      </c>
      <c r="C113" s="48" t="s">
        <v>156</v>
      </c>
      <c r="D113" s="48" t="s">
        <v>437</v>
      </c>
      <c r="E113" s="48">
        <v>278</v>
      </c>
    </row>
    <row r="114" spans="1:5" x14ac:dyDescent="0.35">
      <c r="A114" s="48" t="s">
        <v>112</v>
      </c>
      <c r="B114" s="48" t="s">
        <v>82</v>
      </c>
      <c r="C114" s="48" t="s">
        <v>156</v>
      </c>
      <c r="D114" s="48" t="s">
        <v>437</v>
      </c>
      <c r="E114" s="48">
        <v>288</v>
      </c>
    </row>
    <row r="115" spans="1:5" x14ac:dyDescent="0.35">
      <c r="A115" s="48" t="s">
        <v>113</v>
      </c>
      <c r="B115" s="48" t="s">
        <v>31</v>
      </c>
      <c r="C115" s="48" t="s">
        <v>161</v>
      </c>
      <c r="D115" s="48" t="s">
        <v>439</v>
      </c>
      <c r="E115" s="48">
        <v>542</v>
      </c>
    </row>
    <row r="116" spans="1:5" x14ac:dyDescent="0.35">
      <c r="A116" s="48" t="s">
        <v>114</v>
      </c>
      <c r="B116" s="48" t="s">
        <v>25</v>
      </c>
      <c r="C116" s="48" t="s">
        <v>157</v>
      </c>
      <c r="D116" s="48" t="s">
        <v>438</v>
      </c>
      <c r="E116" s="48">
        <v>844</v>
      </c>
    </row>
    <row r="117" spans="1:5" x14ac:dyDescent="0.35">
      <c r="A117" s="48" t="s">
        <v>115</v>
      </c>
      <c r="B117" s="48" t="s">
        <v>115</v>
      </c>
      <c r="C117" s="48" t="s">
        <v>162</v>
      </c>
      <c r="D117" s="48" t="s">
        <v>440</v>
      </c>
      <c r="E117" s="48">
        <v>2458</v>
      </c>
    </row>
    <row r="118" spans="1:5" x14ac:dyDescent="0.35">
      <c r="A118" s="48" t="s">
        <v>116</v>
      </c>
      <c r="B118" s="48" t="s">
        <v>51</v>
      </c>
      <c r="C118" s="48" t="s">
        <v>158</v>
      </c>
      <c r="D118" s="48" t="s">
        <v>437</v>
      </c>
      <c r="E118" s="48">
        <v>651</v>
      </c>
    </row>
    <row r="119" spans="1:5" x14ac:dyDescent="0.35">
      <c r="A119" s="48" t="s">
        <v>117</v>
      </c>
      <c r="B119" s="48" t="s">
        <v>24</v>
      </c>
      <c r="C119" s="48" t="s">
        <v>165</v>
      </c>
      <c r="D119" s="48" t="s">
        <v>439</v>
      </c>
      <c r="E119" s="48">
        <v>641</v>
      </c>
    </row>
    <row r="120" spans="1:5" x14ac:dyDescent="0.35">
      <c r="A120" s="48" t="s">
        <v>118</v>
      </c>
      <c r="B120" s="48" t="s">
        <v>86</v>
      </c>
      <c r="C120" s="48" t="s">
        <v>160</v>
      </c>
      <c r="D120" s="48" t="s">
        <v>437</v>
      </c>
      <c r="E120" s="48">
        <v>287</v>
      </c>
    </row>
    <row r="121" spans="1:5" x14ac:dyDescent="0.35">
      <c r="A121" s="48" t="s">
        <v>119</v>
      </c>
      <c r="B121" s="48" t="s">
        <v>67</v>
      </c>
      <c r="C121" s="48" t="s">
        <v>160</v>
      </c>
      <c r="D121" s="48" t="s">
        <v>437</v>
      </c>
      <c r="E121" s="48">
        <v>309</v>
      </c>
    </row>
    <row r="127" spans="1:5" s="41" customFormat="1" x14ac:dyDescent="0.35">
      <c r="E127" s="185"/>
    </row>
    <row r="128" spans="1:5" s="41" customFormat="1" x14ac:dyDescent="0.35">
      <c r="E128" s="185"/>
    </row>
    <row r="129" spans="5:5" s="41" customFormat="1" x14ac:dyDescent="0.35">
      <c r="E129" s="185"/>
    </row>
    <row r="130" spans="5:5" s="41" customFormat="1" x14ac:dyDescent="0.35">
      <c r="E130" s="185"/>
    </row>
    <row r="131" spans="5:5" s="41" customFormat="1" x14ac:dyDescent="0.35">
      <c r="E131" s="185"/>
    </row>
    <row r="132" spans="5:5" s="41" customFormat="1" x14ac:dyDescent="0.35">
      <c r="E132" s="185"/>
    </row>
    <row r="133" spans="5:5" s="41" customFormat="1" x14ac:dyDescent="0.35">
      <c r="E133" s="185"/>
    </row>
    <row r="134" spans="5:5" s="41" customFormat="1" x14ac:dyDescent="0.35">
      <c r="E134" s="185"/>
    </row>
    <row r="135" spans="5:5" s="41" customFormat="1" x14ac:dyDescent="0.35">
      <c r="E135" s="185"/>
    </row>
    <row r="136" spans="5:5" s="41" customFormat="1" x14ac:dyDescent="0.35">
      <c r="E136" s="185"/>
    </row>
    <row r="137" spans="5:5" s="41" customFormat="1" x14ac:dyDescent="0.35">
      <c r="E137" s="185"/>
    </row>
    <row r="138" spans="5:5" s="41" customFormat="1" x14ac:dyDescent="0.35">
      <c r="E138" s="185"/>
    </row>
    <row r="139" spans="5:5" s="41" customFormat="1" x14ac:dyDescent="0.35">
      <c r="E139" s="185"/>
    </row>
    <row r="140" spans="5:5" s="41" customFormat="1" x14ac:dyDescent="0.35">
      <c r="E140" s="185"/>
    </row>
    <row r="141" spans="5:5" s="41" customFormat="1" x14ac:dyDescent="0.35">
      <c r="E141" s="185"/>
    </row>
    <row r="142" spans="5:5" s="41" customFormat="1" x14ac:dyDescent="0.35">
      <c r="E142" s="185"/>
    </row>
    <row r="143" spans="5:5" s="41" customFormat="1" x14ac:dyDescent="0.35">
      <c r="E143" s="185"/>
    </row>
    <row r="144" spans="5:5" s="41" customFormat="1" x14ac:dyDescent="0.35">
      <c r="E144" s="185"/>
    </row>
    <row r="145" spans="5:5" s="41" customFormat="1" x14ac:dyDescent="0.35">
      <c r="E145" s="185"/>
    </row>
    <row r="146" spans="5:5" s="41" customFormat="1" x14ac:dyDescent="0.35">
      <c r="E146" s="185"/>
    </row>
  </sheetData>
  <autoFilter ref="A2:E121" xr:uid="{F01A6549-45FF-4F48-8141-4D1CB1C9BFA8}"/>
  <phoneticPr fontId="4" type="noConversion"/>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l  + l  + 
</file>

<file path=customXml/item4.xml>�� 
</file>

<file path=customXml/itemProps1.xml><?xml version="1.0" encoding="utf-8"?>
<ds:datastoreItem xmlns:ds="http://schemas.openxmlformats.org/officeDocument/2006/customXml" ds:itemID="{DE70770F-F63E-4241-86F3-C512620DAD31}">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CC96384E-3F36-498B-A85B-6D0E8A905192}">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5732CB8A-937C-46D7-A6B7-07870814B097}">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8029CC8F-6FDC-4C5C-90ED-8E4933987805}">
  <ds:schemaRefs>
    <ds:schemaRef ds:uri="http://www.w3.org/2001/XMLSchema"/>
    <ds:schemaRef ds:uri="http://microsoft.data.visualization.Client.Excel.P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Aprēķins</vt:lpstr>
      <vt:lpstr>Iedz_sk</vt:lpstr>
      <vt:lpstr>Riga_iedz</vt:lpstr>
      <vt:lpstr>IKP</vt:lpstr>
      <vt:lpstr>Atkritumi</vt:lpstr>
      <vt:lpstr>NSAmaksa_2021</vt:lpstr>
      <vt:lpstr>AAR_Jauda</vt:lpstr>
      <vt:lpstr>Aprēķins_2030</vt:lpstr>
      <vt:lpstr>Karte_AAR</vt:lpstr>
      <vt:lpstr>Novadi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Elina Dace</dc:creator>
  <cp:lastModifiedBy>Jeļena Laščenko</cp:lastModifiedBy>
  <dcterms:created xsi:type="dcterms:W3CDTF">2021-10-25T19:26:21Z</dcterms:created>
  <dcterms:modified xsi:type="dcterms:W3CDTF">2022-05-17T06:36:51Z</dcterms:modified>
</cp:coreProperties>
</file>