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threadedComments/threadedComment4.xml" ContentType="application/vnd.ms-excel.threadedcomments+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3.xml" ContentType="application/vnd.openxmlformats-officedocument.drawing+xml"/>
  <Override PartName="/xl/comments6.xml" ContentType="application/vnd.openxmlformats-officedocument.spreadsheetml.comments+xml"/>
  <Override PartName="/xl/threadedComments/threadedComment5.xml" ContentType="application/vnd.ms-excel.threadedcomments+xml"/>
  <Override PartName="/xl/charts/chartEx1.xml" ContentType="application/vnd.ms-office.chartex+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7.xml" ContentType="application/vnd.openxmlformats-officedocument.spreadsheetml.comments+xml"/>
  <Override PartName="/xl/threadedComments/threadedComment6.xml" ContentType="application/vnd.ms-excel.threadedcomments+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Ex3.xml" ContentType="application/vnd.ms-office.chartex+xml"/>
  <Override PartName="/xl/charts/style5.xml" ContentType="application/vnd.ms-office.chartstyle+xml"/>
  <Override PartName="/xl/charts/colors5.xml" ContentType="application/vnd.ms-office.chartcolorstyle+xml"/>
  <Override PartName="/xl/comments8.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JelenaLascenko\Desktop\Ekspertes_nodevums_sutisana\"/>
    </mc:Choice>
  </mc:AlternateContent>
  <xr:revisionPtr revIDLastSave="0" documentId="13_ncr:1_{4A7A2D01-2A6B-47F8-9666-73714F84E102}" xr6:coauthVersionLast="47" xr6:coauthVersionMax="47" xr10:uidLastSave="{00000000-0000-0000-0000-000000000000}"/>
  <bookViews>
    <workbookView xWindow="-110" yWindow="-110" windowWidth="19420" windowHeight="10300" tabRatio="853" xr2:uid="{FE31290D-3D1C-4E71-B21D-5A6069B4043F}"/>
  </bookViews>
  <sheets>
    <sheet name="Aprēķins" sheetId="3" r:id="rId1"/>
    <sheet name="Iedz_sk" sheetId="9" r:id="rId2"/>
    <sheet name="Riga_iedz" sheetId="5" r:id="rId3"/>
    <sheet name="IKP" sheetId="11" r:id="rId4"/>
    <sheet name="Atkritumi" sheetId="12" r:id="rId5"/>
    <sheet name="NSAmaksa_2021" sheetId="6" r:id="rId6"/>
    <sheet name="AAR_Jauda" sheetId="22" r:id="rId7"/>
    <sheet name="Aprēķins_2030" sheetId="21" r:id="rId8"/>
    <sheet name="Karte_AAR" sheetId="19" r:id="rId9"/>
    <sheet name="Novadi" sheetId="13" state="hidden" r:id="rId10"/>
  </sheets>
  <externalReferences>
    <externalReference r:id="rId11"/>
  </externalReferences>
  <definedNames>
    <definedName name="_xlnm._FilterDatabase" localSheetId="1" hidden="1">Iedz_sk!$A$2:$Y$123</definedName>
    <definedName name="_xlnm._FilterDatabase" localSheetId="3" hidden="1">IKP!$A$4:$AD$124</definedName>
    <definedName name="_xlnm._FilterDatabase" localSheetId="8" hidden="1">Karte_AAR!$A$2:$C$46</definedName>
    <definedName name="_xlnm._FilterDatabase" localSheetId="9" hidden="1">Novadi!$A$2:$E$121</definedName>
    <definedName name="_xlnm._FilterDatabase" localSheetId="5" hidden="1">NSAmaksa_2021!$A$3:$Q$138</definedName>
    <definedName name="_xlchart.v5.0" hidden="1">Aprēķins_2030!$B$198:$C$198</definedName>
    <definedName name="_xlchart.v5.1" hidden="1">Aprēķins_2030!$B$199:$C$242</definedName>
    <definedName name="_xlchart.v5.10" hidden="1">Karte_AAR!$C$50</definedName>
    <definedName name="_xlchart.v5.11" hidden="1">Karte_AAR!$C$51:$C$92</definedName>
    <definedName name="_xlchart.v5.2" hidden="1">Aprēķins_2030!$D$198</definedName>
    <definedName name="_xlchart.v5.3" hidden="1">Aprēķins_2030!$D$199:$D$242</definedName>
    <definedName name="_xlchart.v5.4" hidden="1">Karte_AAR!$A$2:$B$2</definedName>
    <definedName name="_xlchart.v5.5" hidden="1">Karte_AAR!$A$3:$B$44</definedName>
    <definedName name="_xlchart.v5.6" hidden="1">Karte_AAR!$C$2</definedName>
    <definedName name="_xlchart.v5.7" hidden="1">Karte_AAR!$C$3:$C$44</definedName>
    <definedName name="_xlchart.v5.8" hidden="1">Karte_AAR!$A$50:$B$50</definedName>
    <definedName name="_xlchart.v5.9" hidden="1">Karte_AAR!$A$51:$B$92</definedName>
    <definedName name="_xlcn.WorksheetConnection_Karte2I1L1201" hidden="1">'[1]Karte (2)'!$I$1:$Q$120</definedName>
    <definedName name="m_2566965252520474165__GoBack" localSheetId="8">Karte_AAR!#REF!</definedName>
    <definedName name="solver_eng" localSheetId="4" hidden="1">1</definedName>
    <definedName name="solver_neg" localSheetId="4" hidden="1">1</definedName>
    <definedName name="solver_num" localSheetId="4" hidden="1">0</definedName>
    <definedName name="solver_opt" localSheetId="4" hidden="1">Atkritumi!#REF!</definedName>
    <definedName name="solver_typ" localSheetId="4" hidden="1">1</definedName>
    <definedName name="solver_val" localSheetId="4" hidden="1">0</definedName>
    <definedName name="solver_ver" localSheetId="4" hidden="1">3</definedName>
  </definedNames>
  <calcPr calcId="191029"/>
  <pivotCaches>
    <pivotCache cacheId="0" r:id="rId12"/>
    <pivotCache cacheId="1" r:id="rId13"/>
    <pivotCache cacheId="2"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Karte (2)!$I$1:$L$120"/>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0" i="21" l="1"/>
  <c r="D201" i="21"/>
  <c r="D202" i="21"/>
  <c r="D203" i="21"/>
  <c r="D204" i="21"/>
  <c r="D205" i="21"/>
  <c r="D206" i="21"/>
  <c r="D207" i="21"/>
  <c r="D208" i="21"/>
  <c r="D209" i="21"/>
  <c r="D210" i="21"/>
  <c r="D211" i="21"/>
  <c r="D212" i="21"/>
  <c r="D213" i="21"/>
  <c r="D214" i="21"/>
  <c r="D215" i="21"/>
  <c r="D216" i="21"/>
  <c r="D217" i="21"/>
  <c r="D218" i="21"/>
  <c r="D219" i="21"/>
  <c r="D220" i="21"/>
  <c r="D221" i="21"/>
  <c r="D222" i="21"/>
  <c r="D223" i="21"/>
  <c r="D224" i="21"/>
  <c r="D225" i="21"/>
  <c r="D226" i="21"/>
  <c r="D227" i="21"/>
  <c r="D228" i="21"/>
  <c r="D229" i="21"/>
  <c r="D230" i="21"/>
  <c r="D231" i="21"/>
  <c r="D232" i="21"/>
  <c r="D233" i="21"/>
  <c r="D234" i="21"/>
  <c r="D235" i="21"/>
  <c r="D236" i="21"/>
  <c r="D237" i="21"/>
  <c r="D238" i="21"/>
  <c r="D239" i="21"/>
  <c r="D240" i="21"/>
  <c r="N4" i="22"/>
  <c r="M4" i="22" l="1"/>
  <c r="M13" i="22"/>
  <c r="M12" i="22"/>
  <c r="N12" i="22" s="1"/>
  <c r="M10" i="22"/>
  <c r="N10" i="22" s="1"/>
  <c r="M9" i="22"/>
  <c r="M8" i="22"/>
  <c r="N8" i="22" s="1"/>
  <c r="M5" i="22"/>
  <c r="N5" i="22" s="1"/>
  <c r="M6" i="22"/>
  <c r="M7" i="22"/>
  <c r="M11" i="22"/>
  <c r="M6" i="21" l="1"/>
  <c r="Q6" i="21" s="1"/>
  <c r="U6" i="21" s="1"/>
  <c r="I6" i="21"/>
  <c r="M5" i="21"/>
  <c r="Q5" i="21" s="1"/>
  <c r="U5" i="21" s="1"/>
  <c r="M126" i="21"/>
  <c r="M127" i="21"/>
  <c r="Q127" i="21" s="1"/>
  <c r="U127" i="21" s="1"/>
  <c r="M128" i="21"/>
  <c r="Q128" i="21" s="1"/>
  <c r="U128" i="21" s="1"/>
  <c r="M129" i="21"/>
  <c r="Q129" i="21" s="1"/>
  <c r="U129" i="21" s="1"/>
  <c r="M7" i="21"/>
  <c r="Q7" i="21" s="1"/>
  <c r="U7" i="21" s="1"/>
  <c r="M8" i="21"/>
  <c r="Q8" i="21" s="1"/>
  <c r="U8" i="21" s="1"/>
  <c r="M9" i="21"/>
  <c r="Q9" i="21" s="1"/>
  <c r="U9" i="21" s="1"/>
  <c r="M10" i="21"/>
  <c r="Q10" i="21" s="1"/>
  <c r="U10" i="21" s="1"/>
  <c r="M11" i="21"/>
  <c r="Q11" i="21" s="1"/>
  <c r="U11" i="21" s="1"/>
  <c r="M12" i="21"/>
  <c r="Q12" i="21" s="1"/>
  <c r="U12" i="21" s="1"/>
  <c r="M13" i="21"/>
  <c r="Q13" i="21" s="1"/>
  <c r="U13" i="21" s="1"/>
  <c r="M14" i="21"/>
  <c r="Q14" i="21" s="1"/>
  <c r="U14" i="21" s="1"/>
  <c r="M15" i="21"/>
  <c r="Q15" i="21" s="1"/>
  <c r="U15" i="21" s="1"/>
  <c r="M16" i="21"/>
  <c r="Q16" i="21" s="1"/>
  <c r="U16" i="21" s="1"/>
  <c r="M17" i="21"/>
  <c r="Q17" i="21" s="1"/>
  <c r="U17" i="21" s="1"/>
  <c r="M18" i="21"/>
  <c r="Q18" i="21" s="1"/>
  <c r="U18" i="21" s="1"/>
  <c r="M19" i="21"/>
  <c r="Q19" i="21" s="1"/>
  <c r="U19" i="21" s="1"/>
  <c r="M20" i="21"/>
  <c r="Q20" i="21" s="1"/>
  <c r="U20" i="21" s="1"/>
  <c r="M21" i="21"/>
  <c r="Q21" i="21" s="1"/>
  <c r="U21" i="21" s="1"/>
  <c r="M22" i="21"/>
  <c r="Q22" i="21" s="1"/>
  <c r="U22" i="21" s="1"/>
  <c r="M23" i="21"/>
  <c r="Q23" i="21" s="1"/>
  <c r="U23" i="21" s="1"/>
  <c r="M24" i="21"/>
  <c r="Q24" i="21" s="1"/>
  <c r="U24" i="21" s="1"/>
  <c r="M25" i="21"/>
  <c r="Q25" i="21" s="1"/>
  <c r="U25" i="21" s="1"/>
  <c r="M26" i="21"/>
  <c r="Q26" i="21" s="1"/>
  <c r="U26" i="21" s="1"/>
  <c r="M27" i="21"/>
  <c r="Q27" i="21" s="1"/>
  <c r="U27" i="21" s="1"/>
  <c r="M28" i="21"/>
  <c r="Q28" i="21" s="1"/>
  <c r="U28" i="21" s="1"/>
  <c r="M29" i="21"/>
  <c r="Q29" i="21" s="1"/>
  <c r="U29" i="21" s="1"/>
  <c r="M30" i="21"/>
  <c r="Q30" i="21" s="1"/>
  <c r="U30" i="21" s="1"/>
  <c r="M31" i="21"/>
  <c r="Q31" i="21" s="1"/>
  <c r="U31" i="21" s="1"/>
  <c r="M32" i="21"/>
  <c r="Q32" i="21" s="1"/>
  <c r="U32" i="21" s="1"/>
  <c r="M33" i="21"/>
  <c r="Q33" i="21" s="1"/>
  <c r="U33" i="21" s="1"/>
  <c r="M34" i="21"/>
  <c r="Q34" i="21" s="1"/>
  <c r="U34" i="21" s="1"/>
  <c r="M35" i="21"/>
  <c r="Q35" i="21" s="1"/>
  <c r="U35" i="21" s="1"/>
  <c r="M36" i="21"/>
  <c r="Q36" i="21" s="1"/>
  <c r="U36" i="21" s="1"/>
  <c r="M37" i="21"/>
  <c r="Q37" i="21" s="1"/>
  <c r="U37" i="21" s="1"/>
  <c r="M38" i="21"/>
  <c r="Q38" i="21" s="1"/>
  <c r="U38" i="21" s="1"/>
  <c r="M39" i="21"/>
  <c r="Q39" i="21" s="1"/>
  <c r="U39" i="21" s="1"/>
  <c r="M40" i="21"/>
  <c r="Q40" i="21" s="1"/>
  <c r="U40" i="21" s="1"/>
  <c r="M41" i="21"/>
  <c r="Q41" i="21" s="1"/>
  <c r="U41" i="21" s="1"/>
  <c r="M42" i="21"/>
  <c r="Q42" i="21" s="1"/>
  <c r="U42" i="21" s="1"/>
  <c r="M43" i="21"/>
  <c r="Q43" i="21" s="1"/>
  <c r="U43" i="21" s="1"/>
  <c r="M44" i="21"/>
  <c r="Q44" i="21" s="1"/>
  <c r="U44" i="21" s="1"/>
  <c r="M45" i="21"/>
  <c r="Q45" i="21" s="1"/>
  <c r="U45" i="21" s="1"/>
  <c r="M46" i="21"/>
  <c r="Q46" i="21" s="1"/>
  <c r="U46" i="21" s="1"/>
  <c r="M47" i="21"/>
  <c r="Q47" i="21" s="1"/>
  <c r="U47" i="21" s="1"/>
  <c r="M48" i="21"/>
  <c r="Q48" i="21" s="1"/>
  <c r="U48" i="21" s="1"/>
  <c r="M49" i="21"/>
  <c r="Q49" i="21" s="1"/>
  <c r="U49" i="21" s="1"/>
  <c r="M50" i="21"/>
  <c r="Q50" i="21" s="1"/>
  <c r="U50" i="21" s="1"/>
  <c r="M51" i="21"/>
  <c r="Q51" i="21" s="1"/>
  <c r="U51" i="21" s="1"/>
  <c r="M52" i="21"/>
  <c r="Q52" i="21" s="1"/>
  <c r="U52" i="21" s="1"/>
  <c r="M53" i="21"/>
  <c r="Q53" i="21" s="1"/>
  <c r="U53" i="21" s="1"/>
  <c r="M54" i="21"/>
  <c r="Q54" i="21" s="1"/>
  <c r="U54" i="21" s="1"/>
  <c r="M55" i="21"/>
  <c r="Q55" i="21" s="1"/>
  <c r="U55" i="21" s="1"/>
  <c r="M56" i="21"/>
  <c r="Q56" i="21" s="1"/>
  <c r="U56" i="21" s="1"/>
  <c r="M57" i="21"/>
  <c r="Q57" i="21" s="1"/>
  <c r="U57" i="21" s="1"/>
  <c r="M58" i="21"/>
  <c r="Q58" i="21" s="1"/>
  <c r="U58" i="21" s="1"/>
  <c r="M59" i="21"/>
  <c r="Q59" i="21" s="1"/>
  <c r="U59" i="21" s="1"/>
  <c r="M60" i="21"/>
  <c r="Q60" i="21" s="1"/>
  <c r="U60" i="21" s="1"/>
  <c r="M61" i="21"/>
  <c r="Q61" i="21" s="1"/>
  <c r="U61" i="21" s="1"/>
  <c r="M62" i="21"/>
  <c r="Q62" i="21" s="1"/>
  <c r="U62" i="21" s="1"/>
  <c r="M63" i="21"/>
  <c r="Q63" i="21" s="1"/>
  <c r="U63" i="21" s="1"/>
  <c r="M64" i="21"/>
  <c r="Q64" i="21" s="1"/>
  <c r="U64" i="21" s="1"/>
  <c r="M65" i="21"/>
  <c r="Q65" i="21" s="1"/>
  <c r="U65" i="21" s="1"/>
  <c r="M66" i="21"/>
  <c r="Q66" i="21" s="1"/>
  <c r="U66" i="21" s="1"/>
  <c r="M67" i="21"/>
  <c r="Q67" i="21" s="1"/>
  <c r="U67" i="21" s="1"/>
  <c r="M68" i="21"/>
  <c r="Q68" i="21" s="1"/>
  <c r="U68" i="21" s="1"/>
  <c r="M69" i="21"/>
  <c r="Q69" i="21" s="1"/>
  <c r="U69" i="21" s="1"/>
  <c r="M70" i="21"/>
  <c r="Q70" i="21" s="1"/>
  <c r="U70" i="21" s="1"/>
  <c r="M71" i="21"/>
  <c r="Q71" i="21" s="1"/>
  <c r="U71" i="21" s="1"/>
  <c r="M72" i="21"/>
  <c r="Q72" i="21" s="1"/>
  <c r="U72" i="21" s="1"/>
  <c r="M73" i="21"/>
  <c r="Q73" i="21" s="1"/>
  <c r="U73" i="21" s="1"/>
  <c r="M74" i="21"/>
  <c r="Q74" i="21" s="1"/>
  <c r="U74" i="21" s="1"/>
  <c r="M75" i="21"/>
  <c r="Q75" i="21" s="1"/>
  <c r="U75" i="21" s="1"/>
  <c r="M76" i="21"/>
  <c r="Q76" i="21" s="1"/>
  <c r="U76" i="21" s="1"/>
  <c r="M77" i="21"/>
  <c r="Q77" i="21" s="1"/>
  <c r="U77" i="21" s="1"/>
  <c r="M78" i="21"/>
  <c r="Q78" i="21" s="1"/>
  <c r="U78" i="21" s="1"/>
  <c r="M79" i="21"/>
  <c r="Q79" i="21" s="1"/>
  <c r="U79" i="21" s="1"/>
  <c r="M80" i="21"/>
  <c r="Q80" i="21" s="1"/>
  <c r="U80" i="21" s="1"/>
  <c r="M81" i="21"/>
  <c r="Q81" i="21" s="1"/>
  <c r="U81" i="21" s="1"/>
  <c r="M82" i="21"/>
  <c r="Q82" i="21" s="1"/>
  <c r="U82" i="21" s="1"/>
  <c r="M83" i="21"/>
  <c r="Q83" i="21" s="1"/>
  <c r="U83" i="21" s="1"/>
  <c r="M84" i="21"/>
  <c r="Q84" i="21" s="1"/>
  <c r="U84" i="21" s="1"/>
  <c r="M85" i="21"/>
  <c r="Q85" i="21" s="1"/>
  <c r="U85" i="21" s="1"/>
  <c r="M86" i="21"/>
  <c r="Q86" i="21" s="1"/>
  <c r="U86" i="21" s="1"/>
  <c r="M87" i="21"/>
  <c r="Q87" i="21" s="1"/>
  <c r="U87" i="21" s="1"/>
  <c r="M88" i="21"/>
  <c r="Q88" i="21" s="1"/>
  <c r="U88" i="21" s="1"/>
  <c r="M89" i="21"/>
  <c r="Q89" i="21" s="1"/>
  <c r="U89" i="21" s="1"/>
  <c r="M90" i="21"/>
  <c r="Q90" i="21" s="1"/>
  <c r="U90" i="21" s="1"/>
  <c r="M91" i="21"/>
  <c r="Q91" i="21" s="1"/>
  <c r="U91" i="21" s="1"/>
  <c r="M92" i="21"/>
  <c r="Q92" i="21" s="1"/>
  <c r="U92" i="21" s="1"/>
  <c r="M93" i="21"/>
  <c r="Q93" i="21" s="1"/>
  <c r="U93" i="21" s="1"/>
  <c r="M94" i="21"/>
  <c r="Q94" i="21" s="1"/>
  <c r="U94" i="21" s="1"/>
  <c r="M95" i="21"/>
  <c r="Q95" i="21" s="1"/>
  <c r="U95" i="21" s="1"/>
  <c r="M96" i="21"/>
  <c r="Q96" i="21" s="1"/>
  <c r="U96" i="21" s="1"/>
  <c r="M97" i="21"/>
  <c r="Q97" i="21" s="1"/>
  <c r="U97" i="21" s="1"/>
  <c r="M98" i="21"/>
  <c r="Q98" i="21" s="1"/>
  <c r="U98" i="21" s="1"/>
  <c r="M99" i="21"/>
  <c r="Q99" i="21" s="1"/>
  <c r="U99" i="21" s="1"/>
  <c r="M100" i="21"/>
  <c r="Q100" i="21" s="1"/>
  <c r="U100" i="21" s="1"/>
  <c r="M101" i="21"/>
  <c r="Q101" i="21" s="1"/>
  <c r="U101" i="21" s="1"/>
  <c r="M102" i="21"/>
  <c r="Q102" i="21" s="1"/>
  <c r="U102" i="21" s="1"/>
  <c r="M103" i="21"/>
  <c r="Q103" i="21" s="1"/>
  <c r="U103" i="21" s="1"/>
  <c r="M104" i="21"/>
  <c r="Q104" i="21" s="1"/>
  <c r="U104" i="21" s="1"/>
  <c r="M105" i="21"/>
  <c r="Q105" i="21" s="1"/>
  <c r="U105" i="21" s="1"/>
  <c r="M106" i="21"/>
  <c r="Q106" i="21" s="1"/>
  <c r="U106" i="21" s="1"/>
  <c r="M107" i="21"/>
  <c r="Q107" i="21" s="1"/>
  <c r="U107" i="21" s="1"/>
  <c r="M108" i="21"/>
  <c r="Q108" i="21" s="1"/>
  <c r="U108" i="21" s="1"/>
  <c r="M109" i="21"/>
  <c r="Q109" i="21" s="1"/>
  <c r="U109" i="21" s="1"/>
  <c r="M110" i="21"/>
  <c r="Q110" i="21" s="1"/>
  <c r="U110" i="21" s="1"/>
  <c r="M111" i="21"/>
  <c r="Q111" i="21" s="1"/>
  <c r="U111" i="21" s="1"/>
  <c r="M112" i="21"/>
  <c r="Q112" i="21" s="1"/>
  <c r="U112" i="21" s="1"/>
  <c r="M113" i="21"/>
  <c r="Q113" i="21" s="1"/>
  <c r="U113" i="21" s="1"/>
  <c r="M114" i="21"/>
  <c r="Q114" i="21" s="1"/>
  <c r="U114" i="21" s="1"/>
  <c r="M115" i="21"/>
  <c r="Q115" i="21" s="1"/>
  <c r="U115" i="21" s="1"/>
  <c r="M116" i="21"/>
  <c r="Q116" i="21" s="1"/>
  <c r="U116" i="21" s="1"/>
  <c r="M117" i="21"/>
  <c r="Q117" i="21" s="1"/>
  <c r="U117" i="21" s="1"/>
  <c r="M118" i="21"/>
  <c r="Q118" i="21" s="1"/>
  <c r="U118" i="21" s="1"/>
  <c r="M119" i="21"/>
  <c r="Q119" i="21" s="1"/>
  <c r="U119" i="21" s="1"/>
  <c r="M120" i="21"/>
  <c r="Q120" i="21" s="1"/>
  <c r="U120" i="21" s="1"/>
  <c r="M121" i="21"/>
  <c r="Q121" i="21" s="1"/>
  <c r="U121" i="21" s="1"/>
  <c r="M122" i="21"/>
  <c r="Q122" i="21" s="1"/>
  <c r="U122" i="21" s="1"/>
  <c r="M123" i="21"/>
  <c r="Q123" i="21" s="1"/>
  <c r="U123" i="21" s="1"/>
  <c r="M124" i="21"/>
  <c r="Q124" i="21" s="1"/>
  <c r="U124" i="21" s="1"/>
  <c r="L6" i="21"/>
  <c r="P6" i="21" s="1"/>
  <c r="T6" i="21" s="1"/>
  <c r="I126" i="21"/>
  <c r="I127" i="21"/>
  <c r="I128" i="21"/>
  <c r="I129" i="21"/>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1" i="21"/>
  <c r="I42" i="21"/>
  <c r="I43" i="21"/>
  <c r="I44" i="21"/>
  <c r="I45" i="21"/>
  <c r="I46" i="21"/>
  <c r="I47" i="21"/>
  <c r="I48" i="21"/>
  <c r="I49" i="21"/>
  <c r="I50" i="21"/>
  <c r="I51" i="21"/>
  <c r="I52" i="21"/>
  <c r="I53" i="21"/>
  <c r="I54" i="21"/>
  <c r="I55" i="21"/>
  <c r="I56" i="21"/>
  <c r="I57" i="21"/>
  <c r="I58" i="21"/>
  <c r="I59" i="21"/>
  <c r="I60" i="21"/>
  <c r="I61" i="21"/>
  <c r="I62" i="21"/>
  <c r="I63" i="21"/>
  <c r="I64" i="21"/>
  <c r="I65" i="21"/>
  <c r="I66" i="21"/>
  <c r="I67" i="21"/>
  <c r="I68" i="21"/>
  <c r="I69" i="21"/>
  <c r="I70" i="21"/>
  <c r="I71" i="21"/>
  <c r="I72" i="21"/>
  <c r="I73" i="21"/>
  <c r="I74" i="21"/>
  <c r="I75" i="21"/>
  <c r="I76" i="21"/>
  <c r="I77" i="21"/>
  <c r="I78" i="21"/>
  <c r="I79" i="21"/>
  <c r="I80" i="21"/>
  <c r="I81" i="21"/>
  <c r="I82" i="21"/>
  <c r="I83" i="21"/>
  <c r="I84" i="21"/>
  <c r="I85" i="21"/>
  <c r="I86" i="21"/>
  <c r="I87" i="21"/>
  <c r="I88" i="21"/>
  <c r="I89" i="21"/>
  <c r="I90" i="21"/>
  <c r="I91" i="21"/>
  <c r="I92" i="21"/>
  <c r="I93" i="21"/>
  <c r="I94" i="21"/>
  <c r="I95" i="21"/>
  <c r="I96" i="21"/>
  <c r="I97" i="21"/>
  <c r="I98" i="21"/>
  <c r="I99" i="21"/>
  <c r="I100" i="21"/>
  <c r="I101" i="21"/>
  <c r="I102" i="21"/>
  <c r="I103" i="21"/>
  <c r="I104" i="21"/>
  <c r="I105" i="21"/>
  <c r="I106" i="21"/>
  <c r="I107" i="21"/>
  <c r="I108" i="21"/>
  <c r="I109" i="21"/>
  <c r="I110" i="21"/>
  <c r="I111" i="21"/>
  <c r="I112" i="21"/>
  <c r="I113" i="21"/>
  <c r="I114" i="21"/>
  <c r="I115" i="21"/>
  <c r="I116" i="21"/>
  <c r="I117" i="21"/>
  <c r="I118" i="21"/>
  <c r="I119" i="21"/>
  <c r="I120" i="21"/>
  <c r="I121" i="21"/>
  <c r="I122" i="21"/>
  <c r="I123" i="21"/>
  <c r="I124" i="21"/>
  <c r="H6" i="21"/>
  <c r="L129" i="21"/>
  <c r="P129" i="21" s="1"/>
  <c r="K129" i="21"/>
  <c r="O129" i="21" s="1"/>
  <c r="J129" i="21"/>
  <c r="N129" i="21" s="1"/>
  <c r="H129" i="21"/>
  <c r="G129" i="21"/>
  <c r="F129" i="21"/>
  <c r="L128" i="21"/>
  <c r="P128" i="21" s="1"/>
  <c r="K128" i="21"/>
  <c r="O128" i="21" s="1"/>
  <c r="J128" i="21"/>
  <c r="N128" i="21" s="1"/>
  <c r="H128" i="21"/>
  <c r="G128" i="21"/>
  <c r="F128" i="21"/>
  <c r="L127" i="21"/>
  <c r="P127" i="21" s="1"/>
  <c r="K127" i="21"/>
  <c r="O127" i="21" s="1"/>
  <c r="J127" i="21"/>
  <c r="N127" i="21" s="1"/>
  <c r="H127" i="21"/>
  <c r="G127" i="21"/>
  <c r="F127" i="21"/>
  <c r="L126" i="21"/>
  <c r="P126" i="21" s="1"/>
  <c r="T126" i="21" s="1"/>
  <c r="K126" i="21"/>
  <c r="J126" i="21"/>
  <c r="H126" i="21"/>
  <c r="G126" i="21"/>
  <c r="F126" i="21"/>
  <c r="L124" i="21"/>
  <c r="P124" i="21" s="1"/>
  <c r="K124" i="21"/>
  <c r="O124" i="21" s="1"/>
  <c r="J124" i="21"/>
  <c r="N124" i="21" s="1"/>
  <c r="H124" i="21"/>
  <c r="G124" i="21"/>
  <c r="F124" i="21"/>
  <c r="L123" i="21"/>
  <c r="P123" i="21" s="1"/>
  <c r="K123" i="21"/>
  <c r="O123" i="21" s="1"/>
  <c r="J123" i="21"/>
  <c r="N123" i="21" s="1"/>
  <c r="H123" i="21"/>
  <c r="G123" i="21"/>
  <c r="F123" i="21"/>
  <c r="L122" i="21"/>
  <c r="P122" i="21" s="1"/>
  <c r="K122" i="21"/>
  <c r="O122" i="21" s="1"/>
  <c r="J122" i="21"/>
  <c r="N122" i="21" s="1"/>
  <c r="H122" i="21"/>
  <c r="G122" i="21"/>
  <c r="F122" i="21"/>
  <c r="L121" i="21"/>
  <c r="P121" i="21" s="1"/>
  <c r="K121" i="21"/>
  <c r="O121" i="21" s="1"/>
  <c r="J121" i="21"/>
  <c r="N121" i="21" s="1"/>
  <c r="H121" i="21"/>
  <c r="G121" i="21"/>
  <c r="F121" i="21"/>
  <c r="L120" i="21"/>
  <c r="P120" i="21" s="1"/>
  <c r="K120" i="21"/>
  <c r="O120" i="21" s="1"/>
  <c r="J120" i="21"/>
  <c r="N120" i="21" s="1"/>
  <c r="H120" i="21"/>
  <c r="G120" i="21"/>
  <c r="F120" i="21"/>
  <c r="L119" i="21"/>
  <c r="P119" i="21" s="1"/>
  <c r="K119" i="21"/>
  <c r="O119" i="21" s="1"/>
  <c r="J119" i="21"/>
  <c r="N119" i="21" s="1"/>
  <c r="H119" i="21"/>
  <c r="G119" i="21"/>
  <c r="F119" i="21"/>
  <c r="L118" i="21"/>
  <c r="P118" i="21" s="1"/>
  <c r="K118" i="21"/>
  <c r="O118" i="21" s="1"/>
  <c r="J118" i="21"/>
  <c r="N118" i="21" s="1"/>
  <c r="H118" i="21"/>
  <c r="G118" i="21"/>
  <c r="F118" i="21"/>
  <c r="L117" i="21"/>
  <c r="P117" i="21" s="1"/>
  <c r="T117" i="21" s="1"/>
  <c r="K117" i="21"/>
  <c r="O117" i="21" s="1"/>
  <c r="J117" i="21"/>
  <c r="N117" i="21" s="1"/>
  <c r="H117" i="21"/>
  <c r="G117" i="21"/>
  <c r="F117" i="21"/>
  <c r="L116" i="21"/>
  <c r="P116" i="21" s="1"/>
  <c r="K116" i="21"/>
  <c r="O116" i="21" s="1"/>
  <c r="J116" i="21"/>
  <c r="N116" i="21" s="1"/>
  <c r="H116" i="21"/>
  <c r="G116" i="21"/>
  <c r="F116" i="21"/>
  <c r="L115" i="21"/>
  <c r="P115" i="21" s="1"/>
  <c r="K115" i="21"/>
  <c r="O115" i="21" s="1"/>
  <c r="J115" i="21"/>
  <c r="N115" i="21" s="1"/>
  <c r="H115" i="21"/>
  <c r="G115" i="21"/>
  <c r="F115" i="21"/>
  <c r="L114" i="21"/>
  <c r="P114" i="21" s="1"/>
  <c r="K114" i="21"/>
  <c r="O114" i="21" s="1"/>
  <c r="J114" i="21"/>
  <c r="N114" i="21" s="1"/>
  <c r="H114" i="21"/>
  <c r="G114" i="21"/>
  <c r="F114" i="21"/>
  <c r="L113" i="21"/>
  <c r="P113" i="21" s="1"/>
  <c r="K113" i="21"/>
  <c r="O113" i="21" s="1"/>
  <c r="J113" i="21"/>
  <c r="N113" i="21" s="1"/>
  <c r="H113" i="21"/>
  <c r="G113" i="21"/>
  <c r="F113" i="21"/>
  <c r="L112" i="21"/>
  <c r="P112" i="21" s="1"/>
  <c r="K112" i="21"/>
  <c r="O112" i="21" s="1"/>
  <c r="J112" i="21"/>
  <c r="N112" i="21" s="1"/>
  <c r="R112" i="21" s="1"/>
  <c r="H112" i="21"/>
  <c r="G112" i="21"/>
  <c r="F112" i="21"/>
  <c r="L111" i="21"/>
  <c r="P111" i="21" s="1"/>
  <c r="K111" i="21"/>
  <c r="O111" i="21" s="1"/>
  <c r="J111" i="21"/>
  <c r="N111" i="21" s="1"/>
  <c r="H111" i="21"/>
  <c r="G111" i="21"/>
  <c r="F111" i="21"/>
  <c r="L110" i="21"/>
  <c r="P110" i="21" s="1"/>
  <c r="K110" i="21"/>
  <c r="O110" i="21" s="1"/>
  <c r="J110" i="21"/>
  <c r="N110" i="21" s="1"/>
  <c r="H110" i="21"/>
  <c r="G110" i="21"/>
  <c r="F110" i="21"/>
  <c r="L109" i="21"/>
  <c r="P109" i="21" s="1"/>
  <c r="T109" i="21" s="1"/>
  <c r="K109" i="21"/>
  <c r="O109" i="21" s="1"/>
  <c r="J109" i="21"/>
  <c r="N109" i="21" s="1"/>
  <c r="H109" i="21"/>
  <c r="G109" i="21"/>
  <c r="F109" i="21"/>
  <c r="L108" i="21"/>
  <c r="P108" i="21" s="1"/>
  <c r="K108" i="21"/>
  <c r="O108" i="21" s="1"/>
  <c r="J108" i="21"/>
  <c r="N108" i="21" s="1"/>
  <c r="H108" i="21"/>
  <c r="G108" i="21"/>
  <c r="F108" i="21"/>
  <c r="L107" i="21"/>
  <c r="P107" i="21" s="1"/>
  <c r="K107" i="21"/>
  <c r="O107" i="21" s="1"/>
  <c r="J107" i="21"/>
  <c r="N107" i="21" s="1"/>
  <c r="H107" i="21"/>
  <c r="G107" i="21"/>
  <c r="F107" i="21"/>
  <c r="L106" i="21"/>
  <c r="P106" i="21" s="1"/>
  <c r="K106" i="21"/>
  <c r="O106" i="21" s="1"/>
  <c r="J106" i="21"/>
  <c r="N106" i="21" s="1"/>
  <c r="H106" i="21"/>
  <c r="G106" i="21"/>
  <c r="F106" i="21"/>
  <c r="L105" i="21"/>
  <c r="P105" i="21" s="1"/>
  <c r="K105" i="21"/>
  <c r="O105" i="21" s="1"/>
  <c r="J105" i="21"/>
  <c r="N105" i="21" s="1"/>
  <c r="H105" i="21"/>
  <c r="G105" i="21"/>
  <c r="F105" i="21"/>
  <c r="L104" i="21"/>
  <c r="P104" i="21" s="1"/>
  <c r="K104" i="21"/>
  <c r="O104" i="21" s="1"/>
  <c r="J104" i="21"/>
  <c r="N104" i="21" s="1"/>
  <c r="H104" i="21"/>
  <c r="G104" i="21"/>
  <c r="F104" i="21"/>
  <c r="L103" i="21"/>
  <c r="P103" i="21" s="1"/>
  <c r="K103" i="21"/>
  <c r="O103" i="21" s="1"/>
  <c r="J103" i="21"/>
  <c r="N103" i="21" s="1"/>
  <c r="R103" i="21" s="1"/>
  <c r="H103" i="21"/>
  <c r="G103" i="21"/>
  <c r="F103" i="21"/>
  <c r="L102" i="21"/>
  <c r="P102" i="21" s="1"/>
  <c r="T102" i="21" s="1"/>
  <c r="K102" i="21"/>
  <c r="O102" i="21" s="1"/>
  <c r="J102" i="21"/>
  <c r="N102" i="21" s="1"/>
  <c r="H102" i="21"/>
  <c r="G102" i="21"/>
  <c r="F102" i="21"/>
  <c r="L101" i="21"/>
  <c r="P101" i="21" s="1"/>
  <c r="T101" i="21" s="1"/>
  <c r="K101" i="21"/>
  <c r="O101" i="21" s="1"/>
  <c r="J101" i="21"/>
  <c r="N101" i="21" s="1"/>
  <c r="H101" i="21"/>
  <c r="G101" i="21"/>
  <c r="F101" i="21"/>
  <c r="L100" i="21"/>
  <c r="P100" i="21" s="1"/>
  <c r="K100" i="21"/>
  <c r="O100" i="21" s="1"/>
  <c r="J100" i="21"/>
  <c r="N100" i="21" s="1"/>
  <c r="H100" i="21"/>
  <c r="G100" i="21"/>
  <c r="F100" i="21"/>
  <c r="L99" i="21"/>
  <c r="P99" i="21" s="1"/>
  <c r="K99" i="21"/>
  <c r="O99" i="21" s="1"/>
  <c r="J99" i="21"/>
  <c r="N99" i="21" s="1"/>
  <c r="H99" i="21"/>
  <c r="G99" i="21"/>
  <c r="F99" i="21"/>
  <c r="L98" i="21"/>
  <c r="P98" i="21" s="1"/>
  <c r="K98" i="21"/>
  <c r="O98" i="21" s="1"/>
  <c r="J98" i="21"/>
  <c r="N98" i="21" s="1"/>
  <c r="H98" i="21"/>
  <c r="G98" i="21"/>
  <c r="F98" i="21"/>
  <c r="L97" i="21"/>
  <c r="P97" i="21" s="1"/>
  <c r="K97" i="21"/>
  <c r="O97" i="21" s="1"/>
  <c r="J97" i="21"/>
  <c r="N97" i="21" s="1"/>
  <c r="H97" i="21"/>
  <c r="G97" i="21"/>
  <c r="F97" i="21"/>
  <c r="L96" i="21"/>
  <c r="P96" i="21" s="1"/>
  <c r="K96" i="21"/>
  <c r="O96" i="21" s="1"/>
  <c r="J96" i="21"/>
  <c r="N96" i="21" s="1"/>
  <c r="H96" i="21"/>
  <c r="G96" i="21"/>
  <c r="F96" i="21"/>
  <c r="L95" i="21"/>
  <c r="P95" i="21" s="1"/>
  <c r="K95" i="21"/>
  <c r="O95" i="21" s="1"/>
  <c r="J95" i="21"/>
  <c r="N95" i="21" s="1"/>
  <c r="H95" i="21"/>
  <c r="G95" i="21"/>
  <c r="F95" i="21"/>
  <c r="L94" i="21"/>
  <c r="P94" i="21" s="1"/>
  <c r="T94" i="21" s="1"/>
  <c r="K94" i="21"/>
  <c r="O94" i="21" s="1"/>
  <c r="J94" i="21"/>
  <c r="N94" i="21" s="1"/>
  <c r="H94" i="21"/>
  <c r="G94" i="21"/>
  <c r="F94" i="21"/>
  <c r="L93" i="21"/>
  <c r="P93" i="21" s="1"/>
  <c r="T93" i="21" s="1"/>
  <c r="K93" i="21"/>
  <c r="O93" i="21" s="1"/>
  <c r="J93" i="21"/>
  <c r="N93" i="21" s="1"/>
  <c r="H93" i="21"/>
  <c r="G93" i="21"/>
  <c r="F93" i="21"/>
  <c r="L92" i="21"/>
  <c r="P92" i="21" s="1"/>
  <c r="K92" i="21"/>
  <c r="O92" i="21" s="1"/>
  <c r="J92" i="21"/>
  <c r="N92" i="21" s="1"/>
  <c r="H92" i="21"/>
  <c r="G92" i="21"/>
  <c r="F92" i="21"/>
  <c r="L91" i="21"/>
  <c r="P91" i="21" s="1"/>
  <c r="K91" i="21"/>
  <c r="O91" i="21" s="1"/>
  <c r="S91" i="21" s="1"/>
  <c r="J91" i="21"/>
  <c r="N91" i="21" s="1"/>
  <c r="H91" i="21"/>
  <c r="G91" i="21"/>
  <c r="F91" i="21"/>
  <c r="L90" i="21"/>
  <c r="P90" i="21" s="1"/>
  <c r="K90" i="21"/>
  <c r="O90" i="21" s="1"/>
  <c r="J90" i="21"/>
  <c r="N90" i="21" s="1"/>
  <c r="H90" i="21"/>
  <c r="G90" i="21"/>
  <c r="F90" i="21"/>
  <c r="L89" i="21"/>
  <c r="P89" i="21" s="1"/>
  <c r="K89" i="21"/>
  <c r="O89" i="21" s="1"/>
  <c r="J89" i="21"/>
  <c r="N89" i="21" s="1"/>
  <c r="H89" i="21"/>
  <c r="G89" i="21"/>
  <c r="F89" i="21"/>
  <c r="L88" i="21"/>
  <c r="P88" i="21" s="1"/>
  <c r="K88" i="21"/>
  <c r="O88" i="21" s="1"/>
  <c r="J88" i="21"/>
  <c r="N88" i="21" s="1"/>
  <c r="H88" i="21"/>
  <c r="G88" i="21"/>
  <c r="F88" i="21"/>
  <c r="L87" i="21"/>
  <c r="P87" i="21" s="1"/>
  <c r="K87" i="21"/>
  <c r="O87" i="21" s="1"/>
  <c r="J87" i="21"/>
  <c r="N87" i="21" s="1"/>
  <c r="H87" i="21"/>
  <c r="G87" i="21"/>
  <c r="F87" i="21"/>
  <c r="L86" i="21"/>
  <c r="P86" i="21" s="1"/>
  <c r="K86" i="21"/>
  <c r="O86" i="21" s="1"/>
  <c r="J86" i="21"/>
  <c r="N86" i="21" s="1"/>
  <c r="H86" i="21"/>
  <c r="G86" i="21"/>
  <c r="F86" i="21"/>
  <c r="L85" i="21"/>
  <c r="P85" i="21" s="1"/>
  <c r="K85" i="21"/>
  <c r="O85" i="21" s="1"/>
  <c r="J85" i="21"/>
  <c r="N85" i="21" s="1"/>
  <c r="H85" i="21"/>
  <c r="G85" i="21"/>
  <c r="F85" i="21"/>
  <c r="L84" i="21"/>
  <c r="P84" i="21" s="1"/>
  <c r="K84" i="21"/>
  <c r="O84" i="21" s="1"/>
  <c r="J84" i="21"/>
  <c r="N84" i="21" s="1"/>
  <c r="H84" i="21"/>
  <c r="G84" i="21"/>
  <c r="F84" i="21"/>
  <c r="L83" i="21"/>
  <c r="P83" i="21" s="1"/>
  <c r="K83" i="21"/>
  <c r="O83" i="21" s="1"/>
  <c r="J83" i="21"/>
  <c r="N83" i="21" s="1"/>
  <c r="H83" i="21"/>
  <c r="G83" i="21"/>
  <c r="F83" i="21"/>
  <c r="L82" i="21"/>
  <c r="P82" i="21" s="1"/>
  <c r="K82" i="21"/>
  <c r="O82" i="21" s="1"/>
  <c r="J82" i="21"/>
  <c r="N82" i="21" s="1"/>
  <c r="H82" i="21"/>
  <c r="G82" i="21"/>
  <c r="F82" i="21"/>
  <c r="L81" i="21"/>
  <c r="P81" i="21" s="1"/>
  <c r="K81" i="21"/>
  <c r="O81" i="21" s="1"/>
  <c r="J81" i="21"/>
  <c r="N81" i="21" s="1"/>
  <c r="H81" i="21"/>
  <c r="G81" i="21"/>
  <c r="F81" i="21"/>
  <c r="L80" i="21"/>
  <c r="P80" i="21" s="1"/>
  <c r="K80" i="21"/>
  <c r="O80" i="21" s="1"/>
  <c r="J80" i="21"/>
  <c r="N80" i="21" s="1"/>
  <c r="H80" i="21"/>
  <c r="G80" i="21"/>
  <c r="F80" i="21"/>
  <c r="L79" i="21"/>
  <c r="P79" i="21" s="1"/>
  <c r="K79" i="21"/>
  <c r="O79" i="21" s="1"/>
  <c r="J79" i="21"/>
  <c r="N79" i="21" s="1"/>
  <c r="H79" i="21"/>
  <c r="G79" i="21"/>
  <c r="F79" i="21"/>
  <c r="L78" i="21"/>
  <c r="P78" i="21" s="1"/>
  <c r="K78" i="21"/>
  <c r="O78" i="21" s="1"/>
  <c r="J78" i="21"/>
  <c r="N78" i="21" s="1"/>
  <c r="H78" i="21"/>
  <c r="G78" i="21"/>
  <c r="F78" i="21"/>
  <c r="L77" i="21"/>
  <c r="P77" i="21" s="1"/>
  <c r="K77" i="21"/>
  <c r="O77" i="21" s="1"/>
  <c r="J77" i="21"/>
  <c r="N77" i="21" s="1"/>
  <c r="H77" i="21"/>
  <c r="G77" i="21"/>
  <c r="F77" i="21"/>
  <c r="L76" i="21"/>
  <c r="P76" i="21" s="1"/>
  <c r="K76" i="21"/>
  <c r="O76" i="21" s="1"/>
  <c r="J76" i="21"/>
  <c r="N76" i="21" s="1"/>
  <c r="H76" i="21"/>
  <c r="G76" i="21"/>
  <c r="F76" i="21"/>
  <c r="L75" i="21"/>
  <c r="P75" i="21" s="1"/>
  <c r="T75" i="21" s="1"/>
  <c r="K75" i="21"/>
  <c r="O75" i="21" s="1"/>
  <c r="J75" i="21"/>
  <c r="N75" i="21" s="1"/>
  <c r="H75" i="21"/>
  <c r="G75" i="21"/>
  <c r="F75" i="21"/>
  <c r="L74" i="21"/>
  <c r="P74" i="21" s="1"/>
  <c r="K74" i="21"/>
  <c r="O74" i="21" s="1"/>
  <c r="J74" i="21"/>
  <c r="N74" i="21" s="1"/>
  <c r="R74" i="21" s="1"/>
  <c r="H74" i="21"/>
  <c r="G74" i="21"/>
  <c r="F74" i="21"/>
  <c r="L73" i="21"/>
  <c r="P73" i="21" s="1"/>
  <c r="K73" i="21"/>
  <c r="O73" i="21" s="1"/>
  <c r="J73" i="21"/>
  <c r="N73" i="21" s="1"/>
  <c r="H73" i="21"/>
  <c r="G73" i="21"/>
  <c r="F73" i="21"/>
  <c r="L72" i="21"/>
  <c r="P72" i="21" s="1"/>
  <c r="T72" i="21" s="1"/>
  <c r="K72" i="21"/>
  <c r="O72" i="21" s="1"/>
  <c r="J72" i="21"/>
  <c r="N72" i="21" s="1"/>
  <c r="H72" i="21"/>
  <c r="G72" i="21"/>
  <c r="F72" i="21"/>
  <c r="L71" i="21"/>
  <c r="P71" i="21" s="1"/>
  <c r="K71" i="21"/>
  <c r="O71" i="21" s="1"/>
  <c r="J71" i="21"/>
  <c r="N71" i="21" s="1"/>
  <c r="H71" i="21"/>
  <c r="G71" i="21"/>
  <c r="F71" i="21"/>
  <c r="L70" i="21"/>
  <c r="P70" i="21" s="1"/>
  <c r="K70" i="21"/>
  <c r="O70" i="21" s="1"/>
  <c r="J70" i="21"/>
  <c r="N70" i="21" s="1"/>
  <c r="H70" i="21"/>
  <c r="G70" i="21"/>
  <c r="F70" i="21"/>
  <c r="L69" i="21"/>
  <c r="P69" i="21" s="1"/>
  <c r="K69" i="21"/>
  <c r="O69" i="21" s="1"/>
  <c r="J69" i="21"/>
  <c r="N69" i="21" s="1"/>
  <c r="H69" i="21"/>
  <c r="G69" i="21"/>
  <c r="F69" i="21"/>
  <c r="L68" i="21"/>
  <c r="P68" i="21" s="1"/>
  <c r="K68" i="21"/>
  <c r="O68" i="21" s="1"/>
  <c r="J68" i="21"/>
  <c r="N68" i="21" s="1"/>
  <c r="H68" i="21"/>
  <c r="G68" i="21"/>
  <c r="F68" i="21"/>
  <c r="L67" i="21"/>
  <c r="P67" i="21" s="1"/>
  <c r="K67" i="21"/>
  <c r="O67" i="21" s="1"/>
  <c r="J67" i="21"/>
  <c r="N67" i="21" s="1"/>
  <c r="H67" i="21"/>
  <c r="G67" i="21"/>
  <c r="F67" i="21"/>
  <c r="L66" i="21"/>
  <c r="P66" i="21" s="1"/>
  <c r="K66" i="21"/>
  <c r="O66" i="21" s="1"/>
  <c r="J66" i="21"/>
  <c r="N66" i="21" s="1"/>
  <c r="H66" i="21"/>
  <c r="G66" i="21"/>
  <c r="F66" i="21"/>
  <c r="L65" i="21"/>
  <c r="P65" i="21" s="1"/>
  <c r="T65" i="21" s="1"/>
  <c r="K65" i="21"/>
  <c r="O65" i="21" s="1"/>
  <c r="S65" i="21" s="1"/>
  <c r="J65" i="21"/>
  <c r="N65" i="21" s="1"/>
  <c r="H65" i="21"/>
  <c r="G65" i="21"/>
  <c r="F65" i="21"/>
  <c r="L64" i="21"/>
  <c r="P64" i="21" s="1"/>
  <c r="K64" i="21"/>
  <c r="O64" i="21" s="1"/>
  <c r="J64" i="21"/>
  <c r="N64" i="21" s="1"/>
  <c r="H64" i="21"/>
  <c r="G64" i="21"/>
  <c r="F64" i="21"/>
  <c r="L63" i="21"/>
  <c r="P63" i="21" s="1"/>
  <c r="K63" i="21"/>
  <c r="O63" i="21" s="1"/>
  <c r="J63" i="21"/>
  <c r="N63" i="21" s="1"/>
  <c r="H63" i="21"/>
  <c r="G63" i="21"/>
  <c r="F63" i="21"/>
  <c r="L62" i="21"/>
  <c r="P62" i="21" s="1"/>
  <c r="K62" i="21"/>
  <c r="O62" i="21" s="1"/>
  <c r="J62" i="21"/>
  <c r="N62" i="21" s="1"/>
  <c r="H62" i="21"/>
  <c r="G62" i="21"/>
  <c r="F62" i="21"/>
  <c r="L61" i="21"/>
  <c r="P61" i="21" s="1"/>
  <c r="K61" i="21"/>
  <c r="O61" i="21" s="1"/>
  <c r="J61" i="21"/>
  <c r="N61" i="21" s="1"/>
  <c r="H61" i="21"/>
  <c r="G61" i="21"/>
  <c r="F61" i="21"/>
  <c r="L60" i="21"/>
  <c r="P60" i="21" s="1"/>
  <c r="K60" i="21"/>
  <c r="O60" i="21" s="1"/>
  <c r="J60" i="21"/>
  <c r="N60" i="21" s="1"/>
  <c r="H60" i="21"/>
  <c r="G60" i="21"/>
  <c r="F60" i="21"/>
  <c r="L59" i="21"/>
  <c r="P59" i="21" s="1"/>
  <c r="K59" i="21"/>
  <c r="O59" i="21" s="1"/>
  <c r="J59" i="21"/>
  <c r="N59" i="21" s="1"/>
  <c r="H59" i="21"/>
  <c r="G59" i="21"/>
  <c r="F59" i="21"/>
  <c r="L58" i="21"/>
  <c r="P58" i="21" s="1"/>
  <c r="K58" i="21"/>
  <c r="O58" i="21" s="1"/>
  <c r="J58" i="21"/>
  <c r="N58" i="21" s="1"/>
  <c r="H58" i="21"/>
  <c r="G58" i="21"/>
  <c r="F58" i="21"/>
  <c r="L57" i="21"/>
  <c r="P57" i="21" s="1"/>
  <c r="K57" i="21"/>
  <c r="O57" i="21" s="1"/>
  <c r="J57" i="21"/>
  <c r="N57" i="21" s="1"/>
  <c r="H57" i="21"/>
  <c r="G57" i="21"/>
  <c r="F57" i="21"/>
  <c r="L56" i="21"/>
  <c r="P56" i="21" s="1"/>
  <c r="K56" i="21"/>
  <c r="O56" i="21" s="1"/>
  <c r="J56" i="21"/>
  <c r="N56" i="21" s="1"/>
  <c r="H56" i="21"/>
  <c r="G56" i="21"/>
  <c r="F56" i="21"/>
  <c r="L55" i="21"/>
  <c r="P55" i="21" s="1"/>
  <c r="K55" i="21"/>
  <c r="O55" i="21" s="1"/>
  <c r="J55" i="21"/>
  <c r="N55" i="21" s="1"/>
  <c r="H55" i="21"/>
  <c r="G55" i="21"/>
  <c r="F55" i="21"/>
  <c r="L54" i="21"/>
  <c r="P54" i="21" s="1"/>
  <c r="K54" i="21"/>
  <c r="O54" i="21" s="1"/>
  <c r="J54" i="21"/>
  <c r="N54" i="21" s="1"/>
  <c r="H54" i="21"/>
  <c r="G54" i="21"/>
  <c r="F54" i="21"/>
  <c r="L53" i="21"/>
  <c r="P53" i="21" s="1"/>
  <c r="K53" i="21"/>
  <c r="O53" i="21" s="1"/>
  <c r="J53" i="21"/>
  <c r="N53" i="21" s="1"/>
  <c r="H53" i="21"/>
  <c r="G53" i="21"/>
  <c r="F53" i="21"/>
  <c r="L52" i="21"/>
  <c r="P52" i="21" s="1"/>
  <c r="K52" i="21"/>
  <c r="O52" i="21" s="1"/>
  <c r="J52" i="21"/>
  <c r="N52" i="21" s="1"/>
  <c r="R52" i="21" s="1"/>
  <c r="H52" i="21"/>
  <c r="G52" i="21"/>
  <c r="F52" i="21"/>
  <c r="L51" i="21"/>
  <c r="P51" i="21" s="1"/>
  <c r="K51" i="21"/>
  <c r="O51" i="21" s="1"/>
  <c r="J51" i="21"/>
  <c r="N51" i="21" s="1"/>
  <c r="H51" i="21"/>
  <c r="G51" i="21"/>
  <c r="F51" i="21"/>
  <c r="L50" i="21"/>
  <c r="P50" i="21" s="1"/>
  <c r="K50" i="21"/>
  <c r="O50" i="21" s="1"/>
  <c r="J50" i="21"/>
  <c r="N50" i="21" s="1"/>
  <c r="H50" i="21"/>
  <c r="G50" i="21"/>
  <c r="F50" i="21"/>
  <c r="L49" i="21"/>
  <c r="P49" i="21" s="1"/>
  <c r="K49" i="21"/>
  <c r="O49" i="21" s="1"/>
  <c r="S49" i="21" s="1"/>
  <c r="J49" i="21"/>
  <c r="N49" i="21" s="1"/>
  <c r="H49" i="21"/>
  <c r="G49" i="21"/>
  <c r="F49" i="21"/>
  <c r="L48" i="21"/>
  <c r="P48" i="21" s="1"/>
  <c r="T48" i="21" s="1"/>
  <c r="K48" i="21"/>
  <c r="O48" i="21" s="1"/>
  <c r="J48" i="21"/>
  <c r="N48" i="21" s="1"/>
  <c r="H48" i="21"/>
  <c r="G48" i="21"/>
  <c r="F48" i="21"/>
  <c r="L47" i="21"/>
  <c r="P47" i="21" s="1"/>
  <c r="K47" i="21"/>
  <c r="O47" i="21" s="1"/>
  <c r="J47" i="21"/>
  <c r="N47" i="21" s="1"/>
  <c r="H47" i="21"/>
  <c r="G47" i="21"/>
  <c r="F47" i="21"/>
  <c r="L46" i="21"/>
  <c r="P46" i="21" s="1"/>
  <c r="K46" i="21"/>
  <c r="O46" i="21" s="1"/>
  <c r="J46" i="21"/>
  <c r="N46" i="21" s="1"/>
  <c r="H46" i="21"/>
  <c r="G46" i="21"/>
  <c r="F46" i="21"/>
  <c r="L45" i="21"/>
  <c r="P45" i="21" s="1"/>
  <c r="K45" i="21"/>
  <c r="O45" i="21" s="1"/>
  <c r="J45" i="21"/>
  <c r="N45" i="21" s="1"/>
  <c r="H45" i="21"/>
  <c r="G45" i="21"/>
  <c r="F45" i="21"/>
  <c r="L44" i="21"/>
  <c r="P44" i="21" s="1"/>
  <c r="K44" i="21"/>
  <c r="O44" i="21" s="1"/>
  <c r="J44" i="21"/>
  <c r="N44" i="21" s="1"/>
  <c r="H44" i="21"/>
  <c r="G44" i="21"/>
  <c r="F44" i="21"/>
  <c r="L43" i="21"/>
  <c r="P43" i="21" s="1"/>
  <c r="K43" i="21"/>
  <c r="O43" i="21" s="1"/>
  <c r="J43" i="21"/>
  <c r="N43" i="21" s="1"/>
  <c r="H43" i="21"/>
  <c r="G43" i="21"/>
  <c r="F43" i="21"/>
  <c r="L42" i="21"/>
  <c r="P42" i="21" s="1"/>
  <c r="K42" i="21"/>
  <c r="O42" i="21" s="1"/>
  <c r="J42" i="21"/>
  <c r="N42" i="21" s="1"/>
  <c r="H42" i="21"/>
  <c r="G42" i="21"/>
  <c r="F42" i="21"/>
  <c r="L41" i="21"/>
  <c r="P41" i="21" s="1"/>
  <c r="K41" i="21"/>
  <c r="O41" i="21" s="1"/>
  <c r="J41" i="21"/>
  <c r="N41" i="21" s="1"/>
  <c r="H41" i="21"/>
  <c r="G41" i="21"/>
  <c r="F41" i="21"/>
  <c r="L40" i="21"/>
  <c r="P40" i="21" s="1"/>
  <c r="T40" i="21" s="1"/>
  <c r="K40" i="21"/>
  <c r="O40" i="21" s="1"/>
  <c r="J40" i="21"/>
  <c r="N40" i="21" s="1"/>
  <c r="H40" i="21"/>
  <c r="G40" i="21"/>
  <c r="F40" i="21"/>
  <c r="L39" i="21"/>
  <c r="P39" i="21" s="1"/>
  <c r="K39" i="21"/>
  <c r="O39" i="21" s="1"/>
  <c r="J39" i="21"/>
  <c r="N39" i="21" s="1"/>
  <c r="H39" i="21"/>
  <c r="G39" i="21"/>
  <c r="F39" i="21"/>
  <c r="L38" i="21"/>
  <c r="P38" i="21" s="1"/>
  <c r="K38" i="21"/>
  <c r="O38" i="21" s="1"/>
  <c r="J38" i="21"/>
  <c r="N38" i="21" s="1"/>
  <c r="H38" i="21"/>
  <c r="G38" i="21"/>
  <c r="F38" i="21"/>
  <c r="L37" i="21"/>
  <c r="P37" i="21" s="1"/>
  <c r="K37" i="21"/>
  <c r="O37" i="21" s="1"/>
  <c r="J37" i="21"/>
  <c r="N37" i="21" s="1"/>
  <c r="H37" i="21"/>
  <c r="G37" i="21"/>
  <c r="F37" i="21"/>
  <c r="L36" i="21"/>
  <c r="P36" i="21" s="1"/>
  <c r="K36" i="21"/>
  <c r="O36" i="21" s="1"/>
  <c r="J36" i="21"/>
  <c r="N36" i="21" s="1"/>
  <c r="H36" i="21"/>
  <c r="G36" i="21"/>
  <c r="F36" i="21"/>
  <c r="L35" i="21"/>
  <c r="P35" i="21" s="1"/>
  <c r="K35" i="21"/>
  <c r="O35" i="21" s="1"/>
  <c r="J35" i="21"/>
  <c r="N35" i="21" s="1"/>
  <c r="H35" i="21"/>
  <c r="G35" i="21"/>
  <c r="F35" i="21"/>
  <c r="L34" i="21"/>
  <c r="P34" i="21" s="1"/>
  <c r="K34" i="21"/>
  <c r="O34" i="21" s="1"/>
  <c r="J34" i="21"/>
  <c r="N34" i="21" s="1"/>
  <c r="H34" i="21"/>
  <c r="G34" i="21"/>
  <c r="F34" i="21"/>
  <c r="L33" i="21"/>
  <c r="P33" i="21" s="1"/>
  <c r="K33" i="21"/>
  <c r="O33" i="21" s="1"/>
  <c r="J33" i="21"/>
  <c r="N33" i="21" s="1"/>
  <c r="H33" i="21"/>
  <c r="G33" i="21"/>
  <c r="F33" i="21"/>
  <c r="L32" i="21"/>
  <c r="P32" i="21" s="1"/>
  <c r="K32" i="21"/>
  <c r="O32" i="21" s="1"/>
  <c r="J32" i="21"/>
  <c r="N32" i="21" s="1"/>
  <c r="H32" i="21"/>
  <c r="G32" i="21"/>
  <c r="F32" i="21"/>
  <c r="L31" i="21"/>
  <c r="P31" i="21" s="1"/>
  <c r="K31" i="21"/>
  <c r="O31" i="21" s="1"/>
  <c r="J31" i="21"/>
  <c r="N31" i="21" s="1"/>
  <c r="H31" i="21"/>
  <c r="G31" i="21"/>
  <c r="F31" i="21"/>
  <c r="L30" i="21"/>
  <c r="P30" i="21" s="1"/>
  <c r="K30" i="21"/>
  <c r="O30" i="21" s="1"/>
  <c r="J30" i="21"/>
  <c r="N30" i="21" s="1"/>
  <c r="H30" i="21"/>
  <c r="G30" i="21"/>
  <c r="F30" i="21"/>
  <c r="L29" i="21"/>
  <c r="P29" i="21" s="1"/>
  <c r="K29" i="21"/>
  <c r="O29" i="21" s="1"/>
  <c r="J29" i="21"/>
  <c r="N29" i="21" s="1"/>
  <c r="R29" i="21" s="1"/>
  <c r="H29" i="21"/>
  <c r="G29" i="21"/>
  <c r="F29" i="21"/>
  <c r="L28" i="21"/>
  <c r="P28" i="21" s="1"/>
  <c r="K28" i="21"/>
  <c r="O28" i="21" s="1"/>
  <c r="J28" i="21"/>
  <c r="N28" i="21" s="1"/>
  <c r="H28" i="21"/>
  <c r="G28" i="21"/>
  <c r="F28" i="21"/>
  <c r="L27" i="21"/>
  <c r="P27" i="21" s="1"/>
  <c r="K27" i="21"/>
  <c r="O27" i="21" s="1"/>
  <c r="J27" i="21"/>
  <c r="N27" i="21" s="1"/>
  <c r="H27" i="21"/>
  <c r="G27" i="21"/>
  <c r="F27" i="21"/>
  <c r="L26" i="21"/>
  <c r="P26" i="21" s="1"/>
  <c r="K26" i="21"/>
  <c r="O26" i="21" s="1"/>
  <c r="J26" i="21"/>
  <c r="N26" i="21" s="1"/>
  <c r="H26" i="21"/>
  <c r="G26" i="21"/>
  <c r="F26" i="21"/>
  <c r="L25" i="21"/>
  <c r="P25" i="21" s="1"/>
  <c r="K25" i="21"/>
  <c r="O25" i="21" s="1"/>
  <c r="J25" i="21"/>
  <c r="N25" i="21" s="1"/>
  <c r="R25" i="21" s="1"/>
  <c r="H25" i="21"/>
  <c r="G25" i="21"/>
  <c r="F25" i="21"/>
  <c r="L24" i="21"/>
  <c r="P24" i="21" s="1"/>
  <c r="K24" i="21"/>
  <c r="O24" i="21" s="1"/>
  <c r="S24" i="21" s="1"/>
  <c r="J24" i="21"/>
  <c r="N24" i="21" s="1"/>
  <c r="H24" i="21"/>
  <c r="G24" i="21"/>
  <c r="F24" i="21"/>
  <c r="L23" i="21"/>
  <c r="P23" i="21" s="1"/>
  <c r="K23" i="21"/>
  <c r="O23" i="21" s="1"/>
  <c r="S23" i="21" s="1"/>
  <c r="J23" i="21"/>
  <c r="N23" i="21" s="1"/>
  <c r="H23" i="21"/>
  <c r="G23" i="21"/>
  <c r="F23" i="21"/>
  <c r="L22" i="21"/>
  <c r="P22" i="21" s="1"/>
  <c r="K22" i="21"/>
  <c r="O22" i="21" s="1"/>
  <c r="J22" i="21"/>
  <c r="N22" i="21" s="1"/>
  <c r="H22" i="21"/>
  <c r="G22" i="21"/>
  <c r="F22" i="21"/>
  <c r="L21" i="21"/>
  <c r="P21" i="21" s="1"/>
  <c r="K21" i="21"/>
  <c r="O21" i="21" s="1"/>
  <c r="J21" i="21"/>
  <c r="N21" i="21" s="1"/>
  <c r="R21" i="21" s="1"/>
  <c r="H21" i="21"/>
  <c r="G21" i="21"/>
  <c r="F21" i="21"/>
  <c r="L20" i="21"/>
  <c r="P20" i="21" s="1"/>
  <c r="K20" i="21"/>
  <c r="O20" i="21" s="1"/>
  <c r="J20" i="21"/>
  <c r="N20" i="21" s="1"/>
  <c r="H20" i="21"/>
  <c r="G20" i="21"/>
  <c r="F20" i="21"/>
  <c r="L19" i="21"/>
  <c r="P19" i="21" s="1"/>
  <c r="K19" i="21"/>
  <c r="O19" i="21" s="1"/>
  <c r="S19" i="21" s="1"/>
  <c r="J19" i="21"/>
  <c r="N19" i="21" s="1"/>
  <c r="H19" i="21"/>
  <c r="G19" i="21"/>
  <c r="F19" i="21"/>
  <c r="L18" i="21"/>
  <c r="P18" i="21" s="1"/>
  <c r="K18" i="21"/>
  <c r="O18" i="21" s="1"/>
  <c r="J18" i="21"/>
  <c r="N18" i="21" s="1"/>
  <c r="H18" i="21"/>
  <c r="G18" i="21"/>
  <c r="F18" i="21"/>
  <c r="L17" i="21"/>
  <c r="P17" i="21" s="1"/>
  <c r="K17" i="21"/>
  <c r="O17" i="21" s="1"/>
  <c r="J17" i="21"/>
  <c r="N17" i="21" s="1"/>
  <c r="H17" i="21"/>
  <c r="G17" i="21"/>
  <c r="F17" i="21"/>
  <c r="L16" i="21"/>
  <c r="P16" i="21" s="1"/>
  <c r="K16" i="21"/>
  <c r="O16" i="21" s="1"/>
  <c r="S16" i="21" s="1"/>
  <c r="J16" i="21"/>
  <c r="N16" i="21" s="1"/>
  <c r="H16" i="21"/>
  <c r="G16" i="21"/>
  <c r="F16" i="21"/>
  <c r="L15" i="21"/>
  <c r="P15" i="21" s="1"/>
  <c r="T15" i="21" s="1"/>
  <c r="K15" i="21"/>
  <c r="O15" i="21" s="1"/>
  <c r="S15" i="21" s="1"/>
  <c r="J15" i="21"/>
  <c r="N15" i="21" s="1"/>
  <c r="H15" i="21"/>
  <c r="G15" i="21"/>
  <c r="F15" i="21"/>
  <c r="L14" i="21"/>
  <c r="P14" i="21" s="1"/>
  <c r="K14" i="21"/>
  <c r="O14" i="21" s="1"/>
  <c r="J14" i="21"/>
  <c r="N14" i="21" s="1"/>
  <c r="H14" i="21"/>
  <c r="G14" i="21"/>
  <c r="F14" i="21"/>
  <c r="L13" i="21"/>
  <c r="P13" i="21" s="1"/>
  <c r="K13" i="21"/>
  <c r="O13" i="21" s="1"/>
  <c r="J13" i="21"/>
  <c r="N13" i="21" s="1"/>
  <c r="R13" i="21" s="1"/>
  <c r="H13" i="21"/>
  <c r="G13" i="21"/>
  <c r="F13" i="21"/>
  <c r="L12" i="21"/>
  <c r="P12" i="21" s="1"/>
  <c r="K12" i="21"/>
  <c r="O12" i="21" s="1"/>
  <c r="J12" i="21"/>
  <c r="N12" i="21" s="1"/>
  <c r="H12" i="21"/>
  <c r="G12" i="21"/>
  <c r="F12" i="21"/>
  <c r="L11" i="21"/>
  <c r="P11" i="21" s="1"/>
  <c r="K11" i="21"/>
  <c r="O11" i="21" s="1"/>
  <c r="J11" i="21"/>
  <c r="N11" i="21" s="1"/>
  <c r="H11" i="21"/>
  <c r="G11" i="21"/>
  <c r="F11" i="21"/>
  <c r="L10" i="21"/>
  <c r="P10" i="21" s="1"/>
  <c r="T10" i="21" s="1"/>
  <c r="K10" i="21"/>
  <c r="O10" i="21" s="1"/>
  <c r="J10" i="21"/>
  <c r="N10" i="21" s="1"/>
  <c r="H10" i="21"/>
  <c r="G10" i="21"/>
  <c r="F10" i="21"/>
  <c r="L9" i="21"/>
  <c r="P9" i="21" s="1"/>
  <c r="K9" i="21"/>
  <c r="O9" i="21" s="1"/>
  <c r="S9" i="21" s="1"/>
  <c r="J9" i="21"/>
  <c r="N9" i="21" s="1"/>
  <c r="H9" i="21"/>
  <c r="G9" i="21"/>
  <c r="F9" i="21"/>
  <c r="L8" i="21"/>
  <c r="P8" i="21" s="1"/>
  <c r="K8" i="21"/>
  <c r="O8" i="21" s="1"/>
  <c r="J8" i="21"/>
  <c r="N8" i="21" s="1"/>
  <c r="H8" i="21"/>
  <c r="G8" i="21"/>
  <c r="F8" i="21"/>
  <c r="L7" i="21"/>
  <c r="P7" i="21" s="1"/>
  <c r="K7" i="21"/>
  <c r="O7" i="21" s="1"/>
  <c r="J7" i="21"/>
  <c r="N7" i="21" s="1"/>
  <c r="H7" i="21"/>
  <c r="G7" i="21"/>
  <c r="F7" i="21"/>
  <c r="K6" i="21"/>
  <c r="O6" i="21" s="1"/>
  <c r="J6" i="21"/>
  <c r="N6" i="21" s="1"/>
  <c r="G6" i="21"/>
  <c r="F6" i="21"/>
  <c r="L5" i="21"/>
  <c r="P5" i="21" s="1"/>
  <c r="T5" i="21" s="1"/>
  <c r="K5" i="21"/>
  <c r="O5" i="21" s="1"/>
  <c r="S5" i="21" s="1"/>
  <c r="J5" i="21"/>
  <c r="N5" i="21" s="1"/>
  <c r="R5" i="21" s="1"/>
  <c r="AD123" i="11"/>
  <c r="AD124" i="11"/>
  <c r="AD115" i="11"/>
  <c r="AD116" i="11"/>
  <c r="AD122" i="11"/>
  <c r="AD121" i="11"/>
  <c r="AD120" i="11"/>
  <c r="AD119" i="11"/>
  <c r="AD118" i="11"/>
  <c r="AD114" i="11"/>
  <c r="AD113" i="11"/>
  <c r="AD112" i="11"/>
  <c r="AD111" i="11"/>
  <c r="AD110" i="11"/>
  <c r="AD105" i="11"/>
  <c r="AD106" i="11"/>
  <c r="AD107" i="11"/>
  <c r="AD108" i="11"/>
  <c r="AD104" i="11"/>
  <c r="AD93" i="11"/>
  <c r="AD94" i="11"/>
  <c r="AD95" i="11"/>
  <c r="AD96" i="11"/>
  <c r="AD97" i="11"/>
  <c r="AD98" i="11"/>
  <c r="AD99" i="11"/>
  <c r="AD100" i="11"/>
  <c r="AD101" i="11"/>
  <c r="AD102" i="11"/>
  <c r="AD103" i="11"/>
  <c r="AD92" i="11"/>
  <c r="AD90" i="11"/>
  <c r="AD83" i="11"/>
  <c r="AD84" i="11"/>
  <c r="AD85" i="11"/>
  <c r="AD86" i="11"/>
  <c r="AD87" i="11"/>
  <c r="AD88" i="11"/>
  <c r="AD82" i="11"/>
  <c r="AD81" i="11"/>
  <c r="AD77" i="11"/>
  <c r="AD78" i="11"/>
  <c r="AD79" i="11"/>
  <c r="AD76" i="11"/>
  <c r="AD75" i="11"/>
  <c r="AD74" i="11"/>
  <c r="AD73" i="11"/>
  <c r="AD72" i="11"/>
  <c r="AD71" i="11"/>
  <c r="AD70" i="11"/>
  <c r="AD63" i="11"/>
  <c r="AD64" i="11"/>
  <c r="AD65" i="11"/>
  <c r="AD66" i="11"/>
  <c r="AD67" i="11"/>
  <c r="AD68" i="11"/>
  <c r="AD62" i="11"/>
  <c r="AD61" i="11"/>
  <c r="AD60" i="11"/>
  <c r="AD37" i="11"/>
  <c r="AD38" i="11"/>
  <c r="AD39" i="11"/>
  <c r="AD40" i="11"/>
  <c r="AD41" i="11"/>
  <c r="AD42" i="11"/>
  <c r="AD43" i="11"/>
  <c r="AD44" i="11"/>
  <c r="AD45" i="11"/>
  <c r="AD46" i="11"/>
  <c r="AD47" i="11"/>
  <c r="AD48" i="11"/>
  <c r="AD49" i="11"/>
  <c r="AD50" i="11"/>
  <c r="AD51" i="11"/>
  <c r="AD52" i="11"/>
  <c r="AD53" i="11"/>
  <c r="AD54" i="11"/>
  <c r="AD55" i="11"/>
  <c r="AD56" i="11"/>
  <c r="AD57" i="11"/>
  <c r="AD58" i="11"/>
  <c r="AD36" i="11"/>
  <c r="M10" i="11"/>
  <c r="M70" i="11"/>
  <c r="M71" i="11"/>
  <c r="M72" i="11"/>
  <c r="M73" i="11"/>
  <c r="M9" i="11"/>
  <c r="B6" i="3"/>
  <c r="M12" i="6"/>
  <c r="L4" i="6"/>
  <c r="E5" i="21" l="1"/>
  <c r="I130" i="21"/>
  <c r="I5" i="21"/>
  <c r="M130" i="21"/>
  <c r="Q126" i="21"/>
  <c r="S94" i="21"/>
  <c r="T118" i="21"/>
  <c r="R85" i="21"/>
  <c r="S67" i="21"/>
  <c r="G5" i="21"/>
  <c r="S110" i="21"/>
  <c r="R67" i="21"/>
  <c r="S59" i="21"/>
  <c r="S66" i="21"/>
  <c r="R77" i="21"/>
  <c r="R119" i="21"/>
  <c r="R64" i="21"/>
  <c r="T34" i="21"/>
  <c r="S43" i="21"/>
  <c r="R44" i="21"/>
  <c r="S51" i="21"/>
  <c r="T58" i="21"/>
  <c r="S102" i="21"/>
  <c r="S119" i="21"/>
  <c r="R128" i="21"/>
  <c r="T14" i="21"/>
  <c r="R24" i="21"/>
  <c r="T50" i="21"/>
  <c r="R68" i="21"/>
  <c r="R69" i="21"/>
  <c r="S68" i="21"/>
  <c r="R8" i="21"/>
  <c r="S11" i="21"/>
  <c r="R27" i="21"/>
  <c r="R28" i="21"/>
  <c r="R96" i="21"/>
  <c r="T110" i="21"/>
  <c r="R12" i="21"/>
  <c r="T18" i="21"/>
  <c r="T25" i="21"/>
  <c r="S27" i="21"/>
  <c r="R39" i="21"/>
  <c r="S84" i="21"/>
  <c r="R104" i="21"/>
  <c r="S111" i="21"/>
  <c r="T83" i="21"/>
  <c r="F5" i="21"/>
  <c r="S28" i="21"/>
  <c r="S103" i="21"/>
  <c r="S7" i="21"/>
  <c r="R17" i="21"/>
  <c r="S35" i="21"/>
  <c r="R37" i="21"/>
  <c r="R92" i="21"/>
  <c r="R111" i="21"/>
  <c r="R120" i="21"/>
  <c r="H5" i="21"/>
  <c r="R9" i="21"/>
  <c r="T35" i="21"/>
  <c r="R60" i="21"/>
  <c r="L130" i="21"/>
  <c r="S128" i="21"/>
  <c r="R11" i="21"/>
  <c r="R33" i="21"/>
  <c r="R36" i="21"/>
  <c r="F130" i="21"/>
  <c r="T11" i="21"/>
  <c r="R16" i="21"/>
  <c r="T19" i="21"/>
  <c r="S118" i="21"/>
  <c r="S127" i="21"/>
  <c r="T21" i="21"/>
  <c r="S8" i="21"/>
  <c r="T12" i="21"/>
  <c r="R19" i="21"/>
  <c r="T7" i="21"/>
  <c r="R6" i="21"/>
  <c r="S21" i="21"/>
  <c r="R15" i="21"/>
  <c r="S6" i="21"/>
  <c r="R7" i="21"/>
  <c r="T28" i="21"/>
  <c r="S14" i="21"/>
  <c r="S26" i="21"/>
  <c r="T22" i="21"/>
  <c r="S10" i="21"/>
  <c r="T17" i="21"/>
  <c r="R23" i="21"/>
  <c r="S30" i="21"/>
  <c r="R31" i="21"/>
  <c r="R38" i="21"/>
  <c r="T8" i="21"/>
  <c r="S18" i="21"/>
  <c r="S20" i="21"/>
  <c r="T30" i="21"/>
  <c r="S31" i="21"/>
  <c r="S33" i="21"/>
  <c r="S39" i="21"/>
  <c r="T41" i="21"/>
  <c r="R45" i="21"/>
  <c r="T20" i="21"/>
  <c r="R30" i="21"/>
  <c r="S50" i="21"/>
  <c r="T26" i="21"/>
  <c r="R35" i="21"/>
  <c r="T9" i="21"/>
  <c r="T24" i="21"/>
  <c r="S25" i="21"/>
  <c r="R26" i="21"/>
  <c r="T33" i="21"/>
  <c r="S36" i="21"/>
  <c r="S41" i="21"/>
  <c r="R42" i="21"/>
  <c r="S44" i="21"/>
  <c r="S45" i="21"/>
  <c r="T32" i="21"/>
  <c r="T29" i="21"/>
  <c r="R20" i="21"/>
  <c r="S12" i="21"/>
  <c r="T23" i="21"/>
  <c r="S37" i="21"/>
  <c r="S38" i="21"/>
  <c r="R40" i="21"/>
  <c r="S42" i="21"/>
  <c r="R56" i="21"/>
  <c r="T16" i="21"/>
  <c r="S17" i="21"/>
  <c r="R18" i="21"/>
  <c r="R22" i="21"/>
  <c r="T27" i="21"/>
  <c r="R34" i="21"/>
  <c r="T38" i="21"/>
  <c r="S40" i="21"/>
  <c r="R47" i="21"/>
  <c r="T55" i="21"/>
  <c r="T85" i="21"/>
  <c r="R14" i="21"/>
  <c r="T31" i="21"/>
  <c r="R32" i="21"/>
  <c r="T36" i="21"/>
  <c r="R43" i="21"/>
  <c r="R46" i="21"/>
  <c r="S13" i="21"/>
  <c r="R10" i="21"/>
  <c r="T13" i="21"/>
  <c r="S22" i="21"/>
  <c r="S32" i="21"/>
  <c r="S34" i="21"/>
  <c r="T44" i="21"/>
  <c r="R55" i="21"/>
  <c r="S63" i="21"/>
  <c r="S72" i="21"/>
  <c r="S29" i="21"/>
  <c r="T37" i="21"/>
  <c r="T43" i="21"/>
  <c r="T46" i="21"/>
  <c r="R50" i="21"/>
  <c r="T51" i="21"/>
  <c r="S62" i="21"/>
  <c r="R71" i="21"/>
  <c r="T45" i="21"/>
  <c r="S46" i="21"/>
  <c r="R48" i="21"/>
  <c r="S56" i="21"/>
  <c r="R57" i="21"/>
  <c r="T63" i="21"/>
  <c r="R123" i="21"/>
  <c r="S48" i="21"/>
  <c r="T54" i="21"/>
  <c r="T56" i="21"/>
  <c r="S57" i="21"/>
  <c r="R58" i="21"/>
  <c r="R63" i="21"/>
  <c r="T73" i="21"/>
  <c r="R41" i="21"/>
  <c r="T57" i="21"/>
  <c r="S58" i="21"/>
  <c r="T61" i="21"/>
  <c r="T114" i="21"/>
  <c r="R49" i="21"/>
  <c r="R51" i="21"/>
  <c r="R53" i="21"/>
  <c r="S54" i="21"/>
  <c r="S80" i="21"/>
  <c r="S106" i="21"/>
  <c r="R109" i="21"/>
  <c r="T39" i="21"/>
  <c r="S47" i="21"/>
  <c r="R59" i="21"/>
  <c r="T62" i="21"/>
  <c r="S69" i="21"/>
  <c r="S71" i="21"/>
  <c r="T42" i="21"/>
  <c r="T47" i="21"/>
  <c r="T49" i="21"/>
  <c r="S52" i="21"/>
  <c r="T53" i="21"/>
  <c r="S55" i="21"/>
  <c r="S64" i="21"/>
  <c r="T66" i="21"/>
  <c r="T69" i="21"/>
  <c r="R72" i="21"/>
  <c r="T87" i="21"/>
  <c r="S70" i="21"/>
  <c r="R73" i="21"/>
  <c r="T79" i="21"/>
  <c r="T86" i="21"/>
  <c r="R87" i="21"/>
  <c r="T89" i="21"/>
  <c r="S90" i="21"/>
  <c r="T70" i="21"/>
  <c r="S79" i="21"/>
  <c r="R91" i="21"/>
  <c r="T99" i="21"/>
  <c r="T59" i="21"/>
  <c r="S60" i="21"/>
  <c r="R61" i="21"/>
  <c r="R66" i="21"/>
  <c r="T67" i="21"/>
  <c r="S73" i="21"/>
  <c r="S76" i="21"/>
  <c r="S78" i="21"/>
  <c r="T80" i="21"/>
  <c r="S87" i="21"/>
  <c r="T91" i="21"/>
  <c r="S95" i="21"/>
  <c r="T52" i="21"/>
  <c r="S53" i="21"/>
  <c r="R54" i="21"/>
  <c r="T60" i="21"/>
  <c r="S61" i="21"/>
  <c r="R62" i="21"/>
  <c r="T71" i="21"/>
  <c r="S74" i="21"/>
  <c r="R80" i="21"/>
  <c r="R81" i="21"/>
  <c r="S88" i="21"/>
  <c r="T108" i="21"/>
  <c r="T64" i="21"/>
  <c r="S81" i="21"/>
  <c r="R82" i="21"/>
  <c r="S86" i="21"/>
  <c r="T88" i="21"/>
  <c r="S92" i="21"/>
  <c r="T77" i="21"/>
  <c r="T78" i="21"/>
  <c r="R79" i="21"/>
  <c r="T81" i="21"/>
  <c r="S82" i="21"/>
  <c r="R88" i="21"/>
  <c r="R89" i="21"/>
  <c r="R93" i="21"/>
  <c r="S98" i="21"/>
  <c r="R116" i="21"/>
  <c r="R65" i="21"/>
  <c r="T68" i="21"/>
  <c r="R70" i="21"/>
  <c r="R75" i="21"/>
  <c r="R83" i="21"/>
  <c r="S89" i="21"/>
  <c r="R90" i="21"/>
  <c r="S93" i="21"/>
  <c r="R99" i="21"/>
  <c r="T76" i="21"/>
  <c r="S77" i="21"/>
  <c r="R78" i="21"/>
  <c r="T84" i="21"/>
  <c r="S85" i="21"/>
  <c r="R86" i="21"/>
  <c r="R95" i="21"/>
  <c r="T98" i="21"/>
  <c r="S105" i="21"/>
  <c r="S109" i="21"/>
  <c r="R114" i="21"/>
  <c r="S116" i="21"/>
  <c r="T122" i="21"/>
  <c r="R124" i="21"/>
  <c r="G130" i="21"/>
  <c r="T92" i="21"/>
  <c r="R94" i="21"/>
  <c r="R98" i="21"/>
  <c r="R102" i="21"/>
  <c r="T103" i="21"/>
  <c r="T105" i="21"/>
  <c r="S114" i="21"/>
  <c r="T116" i="21"/>
  <c r="R117" i="21"/>
  <c r="R122" i="21"/>
  <c r="S124" i="21"/>
  <c r="H130" i="21"/>
  <c r="S129" i="21"/>
  <c r="T96" i="21"/>
  <c r="S97" i="21"/>
  <c r="T104" i="21"/>
  <c r="S107" i="21"/>
  <c r="S113" i="21"/>
  <c r="S117" i="21"/>
  <c r="S122" i="21"/>
  <c r="T124" i="21"/>
  <c r="J130" i="21"/>
  <c r="N126" i="21"/>
  <c r="T97" i="21"/>
  <c r="R100" i="21"/>
  <c r="T107" i="21"/>
  <c r="R110" i="21"/>
  <c r="T111" i="21"/>
  <c r="T113" i="21"/>
  <c r="S121" i="21"/>
  <c r="K130" i="21"/>
  <c r="O126" i="21"/>
  <c r="T127" i="21"/>
  <c r="T129" i="21"/>
  <c r="S100" i="21"/>
  <c r="R107" i="21"/>
  <c r="T112" i="21"/>
  <c r="S115" i="21"/>
  <c r="R118" i="21"/>
  <c r="T119" i="21"/>
  <c r="T121" i="21"/>
  <c r="R129" i="21"/>
  <c r="P130" i="21"/>
  <c r="T95" i="21"/>
  <c r="T100" i="21"/>
  <c r="R101" i="21"/>
  <c r="T106" i="21"/>
  <c r="R108" i="21"/>
  <c r="T115" i="21"/>
  <c r="T120" i="21"/>
  <c r="S123" i="21"/>
  <c r="T128" i="21"/>
  <c r="T74" i="21"/>
  <c r="S75" i="21"/>
  <c r="R76" i="21"/>
  <c r="T82" i="21"/>
  <c r="S83" i="21"/>
  <c r="R84" i="21"/>
  <c r="T90" i="21"/>
  <c r="S99" i="21"/>
  <c r="S101" i="21"/>
  <c r="R106" i="21"/>
  <c r="S108" i="21"/>
  <c r="R115" i="21"/>
  <c r="T123" i="21"/>
  <c r="R127" i="21"/>
  <c r="S96" i="21"/>
  <c r="R97" i="21"/>
  <c r="S104" i="21"/>
  <c r="R105" i="21"/>
  <c r="S112" i="21"/>
  <c r="R113" i="21"/>
  <c r="S120" i="21"/>
  <c r="R121" i="21"/>
  <c r="I17" i="6"/>
  <c r="C6" i="12"/>
  <c r="C7" i="12" s="1"/>
  <c r="D6" i="12"/>
  <c r="D7" i="12" s="1"/>
  <c r="E6" i="12"/>
  <c r="E7" i="12" s="1"/>
  <c r="F6" i="12"/>
  <c r="F7" i="12" s="1"/>
  <c r="G6" i="12"/>
  <c r="G7" i="12" s="1"/>
  <c r="H6" i="12"/>
  <c r="H7" i="12" s="1"/>
  <c r="I6" i="12"/>
  <c r="I7" i="12" s="1"/>
  <c r="B6" i="12"/>
  <c r="B7" i="12" s="1"/>
  <c r="Y5" i="11"/>
  <c r="K73" i="11"/>
  <c r="C129" i="3" s="1"/>
  <c r="L73" i="11"/>
  <c r="D129" i="3" s="1"/>
  <c r="J73" i="11"/>
  <c r="B129" i="3" s="1"/>
  <c r="K72" i="11"/>
  <c r="C128" i="3" s="1"/>
  <c r="L72" i="11"/>
  <c r="D128" i="3" s="1"/>
  <c r="J72" i="11"/>
  <c r="B128" i="3" s="1"/>
  <c r="K71" i="11"/>
  <c r="C127" i="3" s="1"/>
  <c r="L71" i="11"/>
  <c r="D127" i="3" s="1"/>
  <c r="J71" i="11"/>
  <c r="B127" i="3" s="1"/>
  <c r="L70" i="11"/>
  <c r="D126" i="3" s="1"/>
  <c r="K70" i="11"/>
  <c r="C126" i="3" s="1"/>
  <c r="J70" i="11"/>
  <c r="B126" i="3" s="1"/>
  <c r="C56" i="11"/>
  <c r="B30" i="11"/>
  <c r="J6" i="11"/>
  <c r="K6" i="11" s="1"/>
  <c r="L6" i="11" s="1"/>
  <c r="M6" i="11" s="1"/>
  <c r="S17" i="11"/>
  <c r="T5" i="11"/>
  <c r="U5" i="11"/>
  <c r="V5" i="11"/>
  <c r="W5" i="11"/>
  <c r="X5" i="11"/>
  <c r="Z5" i="11"/>
  <c r="S5" i="11"/>
  <c r="J7" i="11"/>
  <c r="K7" i="11" s="1"/>
  <c r="J5" i="11"/>
  <c r="J6" i="12" s="1"/>
  <c r="J7" i="12" s="1"/>
  <c r="J5" i="12" s="1"/>
  <c r="X117" i="11"/>
  <c r="W117" i="11"/>
  <c r="V117" i="11"/>
  <c r="U117" i="11"/>
  <c r="T117" i="11"/>
  <c r="S117" i="11"/>
  <c r="X109" i="11"/>
  <c r="W109" i="11"/>
  <c r="V109" i="11"/>
  <c r="U109" i="11"/>
  <c r="T109" i="11"/>
  <c r="S109" i="11"/>
  <c r="X91" i="11"/>
  <c r="W91" i="11"/>
  <c r="V91" i="11"/>
  <c r="U91" i="11"/>
  <c r="T91" i="11"/>
  <c r="S91" i="11"/>
  <c r="X89" i="11"/>
  <c r="W89" i="11"/>
  <c r="V89" i="11"/>
  <c r="U89" i="11"/>
  <c r="T89" i="11"/>
  <c r="S89" i="11"/>
  <c r="X80" i="11"/>
  <c r="W80" i="11"/>
  <c r="V80" i="11"/>
  <c r="U80" i="11"/>
  <c r="T80" i="11"/>
  <c r="S80" i="11"/>
  <c r="X69" i="11"/>
  <c r="W69" i="11"/>
  <c r="V69" i="11"/>
  <c r="U69" i="11"/>
  <c r="T69" i="11"/>
  <c r="S69" i="11"/>
  <c r="X59" i="11"/>
  <c r="W59" i="11"/>
  <c r="V59" i="11"/>
  <c r="U59" i="11"/>
  <c r="T59" i="11"/>
  <c r="S59" i="11"/>
  <c r="X17" i="11"/>
  <c r="W17" i="11"/>
  <c r="V17" i="11"/>
  <c r="U17" i="11"/>
  <c r="T17" i="11"/>
  <c r="X6" i="11"/>
  <c r="W6" i="11"/>
  <c r="V6" i="11"/>
  <c r="U6" i="11"/>
  <c r="T6" i="11"/>
  <c r="S6" i="11"/>
  <c r="G5" i="5"/>
  <c r="Q130" i="21" l="1"/>
  <c r="U126" i="21"/>
  <c r="U130" i="21" s="1"/>
  <c r="T130" i="21"/>
  <c r="S126" i="21"/>
  <c r="S130" i="21" s="1"/>
  <c r="O130" i="21"/>
  <c r="N130" i="21"/>
  <c r="R126" i="21"/>
  <c r="R130" i="21" s="1"/>
  <c r="C130" i="3"/>
  <c r="D130" i="3"/>
  <c r="B130" i="3"/>
  <c r="I5" i="12"/>
  <c r="AA5" i="11"/>
  <c r="L7" i="11"/>
  <c r="AB5" i="11"/>
  <c r="M133" i="6"/>
  <c r="M134" i="6"/>
  <c r="M135" i="6"/>
  <c r="M136" i="6"/>
  <c r="M137" i="6"/>
  <c r="M138" i="6"/>
  <c r="E132" i="6"/>
  <c r="M132" i="6" s="1"/>
  <c r="N132" i="6" s="1"/>
  <c r="O6" i="3" s="1"/>
  <c r="F137" i="6"/>
  <c r="C138" i="6"/>
  <c r="L138" i="6" s="1"/>
  <c r="N81" i="3" s="1"/>
  <c r="C133" i="6"/>
  <c r="L133" i="6" s="1"/>
  <c r="C132" i="6"/>
  <c r="L132" i="6" s="1"/>
  <c r="N6" i="3" s="1"/>
  <c r="M11" i="6"/>
  <c r="N11" i="6" s="1"/>
  <c r="N7" i="3"/>
  <c r="M112" i="6"/>
  <c r="N112" i="6" s="1"/>
  <c r="M78" i="6"/>
  <c r="N78" i="6" s="1"/>
  <c r="M5" i="6"/>
  <c r="N5" i="6" s="1"/>
  <c r="M6" i="6"/>
  <c r="M8" i="6"/>
  <c r="N8" i="6" s="1"/>
  <c r="M9" i="6"/>
  <c r="N9" i="6" s="1"/>
  <c r="M10" i="6"/>
  <c r="N10" i="6" s="1"/>
  <c r="N12" i="6"/>
  <c r="M13" i="6"/>
  <c r="N13" i="6" s="1"/>
  <c r="M14" i="6"/>
  <c r="N14" i="6" s="1"/>
  <c r="M16" i="6"/>
  <c r="N16" i="6" s="1"/>
  <c r="M18" i="6"/>
  <c r="M19" i="6"/>
  <c r="N19" i="6" s="1"/>
  <c r="M20" i="6"/>
  <c r="N20" i="6" s="1"/>
  <c r="M21" i="6"/>
  <c r="M23" i="6"/>
  <c r="N23" i="6" s="1"/>
  <c r="M24" i="6"/>
  <c r="N24" i="6" s="1"/>
  <c r="M27" i="6"/>
  <c r="N27" i="6" s="1"/>
  <c r="M28" i="6"/>
  <c r="N28" i="6" s="1"/>
  <c r="M29" i="6"/>
  <c r="N29" i="6" s="1"/>
  <c r="M30" i="6"/>
  <c r="M31" i="6"/>
  <c r="M33" i="6"/>
  <c r="N33" i="6" s="1"/>
  <c r="M34" i="6"/>
  <c r="N34" i="6" s="1"/>
  <c r="M35" i="6"/>
  <c r="M36" i="6"/>
  <c r="N36" i="6" s="1"/>
  <c r="M38" i="6"/>
  <c r="N38" i="6" s="1"/>
  <c r="M39" i="6"/>
  <c r="N39" i="6" s="1"/>
  <c r="M41" i="6"/>
  <c r="N41" i="6" s="1"/>
  <c r="M42" i="6"/>
  <c r="N42" i="6" s="1"/>
  <c r="M43" i="6"/>
  <c r="N43" i="6" s="1"/>
  <c r="M44" i="6"/>
  <c r="N44" i="6" s="1"/>
  <c r="M45" i="6"/>
  <c r="N45" i="6" s="1"/>
  <c r="M46" i="6"/>
  <c r="M47" i="6"/>
  <c r="N47" i="6" s="1"/>
  <c r="M48" i="6"/>
  <c r="N48" i="6" s="1"/>
  <c r="M49" i="6"/>
  <c r="N49" i="6" s="1"/>
  <c r="M50" i="6"/>
  <c r="N50" i="6" s="1"/>
  <c r="M51" i="6"/>
  <c r="N51" i="6" s="1"/>
  <c r="M52" i="6"/>
  <c r="M53" i="6"/>
  <c r="N53" i="6" s="1"/>
  <c r="M54" i="6"/>
  <c r="N54" i="6" s="1"/>
  <c r="M55" i="6"/>
  <c r="N55" i="6" s="1"/>
  <c r="M56" i="6"/>
  <c r="N56" i="6" s="1"/>
  <c r="M57" i="6"/>
  <c r="M58" i="6"/>
  <c r="N58" i="6" s="1"/>
  <c r="M59" i="6"/>
  <c r="M60" i="6"/>
  <c r="N60" i="6" s="1"/>
  <c r="M61" i="6"/>
  <c r="N61" i="6" s="1"/>
  <c r="M62" i="6"/>
  <c r="N62" i="6" s="1"/>
  <c r="M64" i="6"/>
  <c r="N64" i="6" s="1"/>
  <c r="M65" i="6"/>
  <c r="M67" i="6"/>
  <c r="N67" i="6" s="1"/>
  <c r="M68" i="6"/>
  <c r="N68" i="6" s="1"/>
  <c r="M69" i="6"/>
  <c r="N69" i="6" s="1"/>
  <c r="M70" i="6"/>
  <c r="M71" i="6"/>
  <c r="N71" i="6" s="1"/>
  <c r="M72" i="6"/>
  <c r="N72" i="6" s="1"/>
  <c r="M75" i="6"/>
  <c r="N75" i="6" s="1"/>
  <c r="M76" i="6"/>
  <c r="N76" i="6" s="1"/>
  <c r="M77" i="6"/>
  <c r="N77" i="6" s="1"/>
  <c r="M79" i="6"/>
  <c r="N79" i="6" s="1"/>
  <c r="M81" i="6"/>
  <c r="N81" i="6" s="1"/>
  <c r="M82" i="6"/>
  <c r="N82" i="6" s="1"/>
  <c r="M83" i="6"/>
  <c r="N83" i="6" s="1"/>
  <c r="M85" i="6"/>
  <c r="N85" i="6" s="1"/>
  <c r="M86" i="6"/>
  <c r="N86" i="6" s="1"/>
  <c r="M87" i="6"/>
  <c r="N87" i="6" s="1"/>
  <c r="M88" i="6"/>
  <c r="N88" i="6" s="1"/>
  <c r="M89" i="6"/>
  <c r="M90" i="6"/>
  <c r="N90" i="6" s="1"/>
  <c r="M91" i="6"/>
  <c r="M92" i="6"/>
  <c r="N92" i="6" s="1"/>
  <c r="M93" i="6"/>
  <c r="N93" i="6" s="1"/>
  <c r="M94" i="6"/>
  <c r="N94" i="6" s="1"/>
  <c r="M95" i="6"/>
  <c r="N95" i="6" s="1"/>
  <c r="M98" i="6"/>
  <c r="N98" i="6" s="1"/>
  <c r="M99" i="6"/>
  <c r="M100" i="6"/>
  <c r="N100" i="6" s="1"/>
  <c r="M102" i="6"/>
  <c r="N102" i="6" s="1"/>
  <c r="M103" i="6"/>
  <c r="M104" i="6"/>
  <c r="N104" i="6" s="1"/>
  <c r="M107" i="6"/>
  <c r="N107" i="6" s="1"/>
  <c r="M108" i="6"/>
  <c r="N108" i="6" s="1"/>
  <c r="M109" i="6"/>
  <c r="N109" i="6" s="1"/>
  <c r="M111" i="6"/>
  <c r="N111" i="6" s="1"/>
  <c r="M113" i="6"/>
  <c r="M114" i="6"/>
  <c r="N114" i="6" s="1"/>
  <c r="M116" i="6"/>
  <c r="N116" i="6" s="1"/>
  <c r="M117" i="6"/>
  <c r="M118" i="6"/>
  <c r="N118" i="6" s="1"/>
  <c r="M119" i="6"/>
  <c r="N119" i="6" s="1"/>
  <c r="M120" i="6"/>
  <c r="N120" i="6" s="1"/>
  <c r="M121" i="6"/>
  <c r="N121" i="6" s="1"/>
  <c r="M123" i="6"/>
  <c r="N123" i="6" s="1"/>
  <c r="M124" i="6"/>
  <c r="N124" i="6" s="1"/>
  <c r="M126" i="6"/>
  <c r="N126" i="6" s="1"/>
  <c r="M127" i="6"/>
  <c r="N127" i="6" s="1"/>
  <c r="M128" i="6"/>
  <c r="N128" i="6" s="1"/>
  <c r="M129" i="6"/>
  <c r="M130" i="6"/>
  <c r="N130" i="6" s="1"/>
  <c r="M131" i="6"/>
  <c r="N131" i="6" s="1"/>
  <c r="M4" i="6"/>
  <c r="N4" i="6" s="1"/>
  <c r="L6" i="6"/>
  <c r="N6" i="6" s="1"/>
  <c r="L8" i="6"/>
  <c r="L9" i="6"/>
  <c r="L10" i="6"/>
  <c r="N12" i="3" s="1"/>
  <c r="L11" i="6"/>
  <c r="N126" i="3" s="1"/>
  <c r="L12" i="6"/>
  <c r="L13" i="6"/>
  <c r="N128" i="3" s="1"/>
  <c r="L14" i="6"/>
  <c r="N129" i="3" s="1"/>
  <c r="L16" i="6"/>
  <c r="N14" i="3" s="1"/>
  <c r="L19" i="6"/>
  <c r="N17" i="3" s="1"/>
  <c r="L20" i="6"/>
  <c r="L23" i="6"/>
  <c r="L24" i="6"/>
  <c r="N21" i="3" s="1"/>
  <c r="L27" i="6"/>
  <c r="N24" i="3" s="1"/>
  <c r="L28" i="6"/>
  <c r="N25" i="3" s="1"/>
  <c r="L29" i="6"/>
  <c r="N26" i="3" s="1"/>
  <c r="L33" i="6"/>
  <c r="L34" i="6"/>
  <c r="L36" i="6"/>
  <c r="N32" i="3" s="1"/>
  <c r="L38" i="6"/>
  <c r="N34" i="3" s="1"/>
  <c r="L39" i="6"/>
  <c r="N35" i="3" s="1"/>
  <c r="L41" i="6"/>
  <c r="N37" i="3" s="1"/>
  <c r="L42" i="6"/>
  <c r="N38" i="3" s="1"/>
  <c r="L43" i="6"/>
  <c r="N39" i="3" s="1"/>
  <c r="L44" i="6"/>
  <c r="N40" i="3" s="1"/>
  <c r="L45" i="6"/>
  <c r="N41" i="3" s="1"/>
  <c r="L47" i="6"/>
  <c r="N43" i="3" s="1"/>
  <c r="L48" i="6"/>
  <c r="N44" i="3" s="1"/>
  <c r="L50" i="6"/>
  <c r="N46" i="3" s="1"/>
  <c r="L51" i="6"/>
  <c r="N47" i="3" s="1"/>
  <c r="L53" i="6"/>
  <c r="N49" i="3" s="1"/>
  <c r="L54" i="6"/>
  <c r="N50" i="3" s="1"/>
  <c r="L55" i="6"/>
  <c r="N51" i="3" s="1"/>
  <c r="L56" i="6"/>
  <c r="N52" i="3" s="1"/>
  <c r="L58" i="6"/>
  <c r="N54" i="3" s="1"/>
  <c r="L60" i="6"/>
  <c r="L61" i="6"/>
  <c r="N57" i="3" s="1"/>
  <c r="L62" i="6"/>
  <c r="N58" i="3" s="1"/>
  <c r="L64" i="6"/>
  <c r="N60" i="3" s="1"/>
  <c r="L67" i="6"/>
  <c r="N63" i="3" s="1"/>
  <c r="L68" i="6"/>
  <c r="N64" i="3" s="1"/>
  <c r="L69" i="6"/>
  <c r="L71" i="6"/>
  <c r="N66" i="3" s="1"/>
  <c r="L72" i="6"/>
  <c r="N67" i="3" s="1"/>
  <c r="L75" i="6"/>
  <c r="N70" i="3" s="1"/>
  <c r="L76" i="6"/>
  <c r="N71" i="3" s="1"/>
  <c r="L77" i="6"/>
  <c r="N72" i="3" s="1"/>
  <c r="L79" i="6"/>
  <c r="L81" i="6"/>
  <c r="N75" i="3" s="1"/>
  <c r="L82" i="6"/>
  <c r="L83" i="6"/>
  <c r="N77" i="3" s="1"/>
  <c r="L85" i="6"/>
  <c r="N79" i="3" s="1"/>
  <c r="L86" i="6"/>
  <c r="N80" i="3" s="1"/>
  <c r="L87" i="6"/>
  <c r="L88" i="6"/>
  <c r="L90" i="6"/>
  <c r="N83" i="3" s="1"/>
  <c r="L92" i="6"/>
  <c r="N85" i="3" s="1"/>
  <c r="L93" i="6"/>
  <c r="N86" i="3" s="1"/>
  <c r="L94" i="6"/>
  <c r="N87" i="3" s="1"/>
  <c r="L95" i="6"/>
  <c r="N88" i="3" s="1"/>
  <c r="L98" i="6"/>
  <c r="N91" i="3" s="1"/>
  <c r="L100" i="6"/>
  <c r="N93" i="3" s="1"/>
  <c r="L102" i="6"/>
  <c r="L104" i="6"/>
  <c r="N97" i="3" s="1"/>
  <c r="L107" i="6"/>
  <c r="N100" i="3" s="1"/>
  <c r="L108" i="6"/>
  <c r="N101" i="3" s="1"/>
  <c r="L109" i="6"/>
  <c r="N102" i="3" s="1"/>
  <c r="L111" i="6"/>
  <c r="N104" i="3" s="1"/>
  <c r="L112" i="6"/>
  <c r="N105" i="3" s="1"/>
  <c r="L114" i="6"/>
  <c r="L116" i="6"/>
  <c r="N109" i="3" s="1"/>
  <c r="L118" i="6"/>
  <c r="N111" i="3" s="1"/>
  <c r="L119" i="6"/>
  <c r="N112" i="3" s="1"/>
  <c r="L120" i="6"/>
  <c r="N113" i="3" s="1"/>
  <c r="L121" i="6"/>
  <c r="N114" i="3" s="1"/>
  <c r="L123" i="6"/>
  <c r="N116" i="3" s="1"/>
  <c r="L124" i="6"/>
  <c r="L126" i="6"/>
  <c r="N119" i="3" s="1"/>
  <c r="L127" i="6"/>
  <c r="N120" i="3" s="1"/>
  <c r="L128" i="6"/>
  <c r="N121" i="3" s="1"/>
  <c r="L130" i="6"/>
  <c r="N123" i="3" s="1"/>
  <c r="L131" i="6"/>
  <c r="N124" i="3" s="1"/>
  <c r="L5" i="6"/>
  <c r="N8" i="3" s="1"/>
  <c r="L7" i="6"/>
  <c r="T133" i="11"/>
  <c r="U133" i="11"/>
  <c r="V133" i="11"/>
  <c r="W133" i="11"/>
  <c r="X133" i="11"/>
  <c r="Y133" i="11"/>
  <c r="Z133" i="11"/>
  <c r="AA133" i="11"/>
  <c r="AB133" i="11"/>
  <c r="AC133" i="11"/>
  <c r="S133" i="11"/>
  <c r="Q249" i="11"/>
  <c r="Q250" i="11"/>
  <c r="Q251" i="11"/>
  <c r="Q252" i="11"/>
  <c r="Q253" i="11"/>
  <c r="Q254" i="11"/>
  <c r="Q238" i="11"/>
  <c r="Q239" i="11"/>
  <c r="Q240" i="11"/>
  <c r="Q241" i="11"/>
  <c r="Q242" i="11"/>
  <c r="Q243" i="11"/>
  <c r="Q244" i="11"/>
  <c r="Q245" i="11"/>
  <c r="Q246" i="11"/>
  <c r="Q247" i="11"/>
  <c r="Q248" i="11"/>
  <c r="Q229" i="11"/>
  <c r="Q230" i="11"/>
  <c r="Q231" i="11"/>
  <c r="Q232" i="11"/>
  <c r="Q233" i="11"/>
  <c r="Q234" i="11"/>
  <c r="Q235" i="11"/>
  <c r="Q236" i="11"/>
  <c r="Q237" i="11"/>
  <c r="Q223" i="11"/>
  <c r="Q224" i="11"/>
  <c r="Q225" i="11"/>
  <c r="Q226" i="11"/>
  <c r="Q227" i="11"/>
  <c r="Q228" i="11"/>
  <c r="Q137" i="11"/>
  <c r="Q138" i="11"/>
  <c r="Q139" i="11"/>
  <c r="Q140" i="11"/>
  <c r="Q141" i="11"/>
  <c r="Q142" i="11"/>
  <c r="Q143" i="11"/>
  <c r="Q144" i="11"/>
  <c r="Q145" i="11"/>
  <c r="Q146" i="11"/>
  <c r="Q147" i="11"/>
  <c r="Q148" i="11"/>
  <c r="Q149" i="11"/>
  <c r="Q150" i="11"/>
  <c r="Q151" i="11"/>
  <c r="Q152" i="11"/>
  <c r="Q153" i="11"/>
  <c r="Q154" i="11"/>
  <c r="Q155" i="11"/>
  <c r="Q156" i="11"/>
  <c r="Q157" i="11"/>
  <c r="Q158" i="11"/>
  <c r="Q159" i="11"/>
  <c r="Q160" i="11"/>
  <c r="Q161" i="11"/>
  <c r="Q162" i="11"/>
  <c r="Q163" i="11"/>
  <c r="Q164" i="11"/>
  <c r="Q165" i="11"/>
  <c r="Q166" i="11"/>
  <c r="Q167" i="11"/>
  <c r="Q168" i="11"/>
  <c r="Q169" i="11"/>
  <c r="Q170" i="11"/>
  <c r="Q171" i="11"/>
  <c r="Q172" i="11"/>
  <c r="Q173" i="11"/>
  <c r="Q174" i="11"/>
  <c r="Q175" i="11"/>
  <c r="Q176" i="11"/>
  <c r="Q177" i="11"/>
  <c r="Q178" i="11"/>
  <c r="Q179" i="11"/>
  <c r="Q180" i="11"/>
  <c r="Q181" i="11"/>
  <c r="Q182" i="11"/>
  <c r="Q183" i="11"/>
  <c r="Q184" i="11"/>
  <c r="Q185" i="11"/>
  <c r="Q186" i="11"/>
  <c r="Q187" i="11"/>
  <c r="Q188" i="11"/>
  <c r="Q189" i="11"/>
  <c r="Q190" i="11"/>
  <c r="Q191" i="11"/>
  <c r="Q192" i="11"/>
  <c r="Q193" i="11"/>
  <c r="Q194" i="11"/>
  <c r="Q195" i="11"/>
  <c r="Q196" i="11"/>
  <c r="Q197" i="11"/>
  <c r="Q198" i="11"/>
  <c r="Q199" i="11"/>
  <c r="Q200" i="11"/>
  <c r="Q201" i="11"/>
  <c r="Q202" i="11"/>
  <c r="Q203" i="11"/>
  <c r="Q204" i="11"/>
  <c r="Q205" i="11"/>
  <c r="Q206" i="11"/>
  <c r="Q207" i="11"/>
  <c r="Q208" i="11"/>
  <c r="Q209" i="11"/>
  <c r="Q210" i="11"/>
  <c r="Q211" i="11"/>
  <c r="Q212" i="11"/>
  <c r="Q213" i="11"/>
  <c r="Q214" i="11"/>
  <c r="Q215" i="11"/>
  <c r="Q216" i="11"/>
  <c r="Q217" i="11"/>
  <c r="Q218" i="11"/>
  <c r="Q219" i="11"/>
  <c r="Q220" i="11"/>
  <c r="Q221" i="11"/>
  <c r="Q222" i="11"/>
  <c r="Q136" i="11"/>
  <c r="S130" i="11"/>
  <c r="T130" i="11"/>
  <c r="T210" i="11" s="1"/>
  <c r="U130" i="11"/>
  <c r="U210" i="11" s="1"/>
  <c r="V130" i="11"/>
  <c r="W130" i="11"/>
  <c r="X130" i="11"/>
  <c r="X221" i="11" s="1"/>
  <c r="Y130" i="11"/>
  <c r="Z130" i="11"/>
  <c r="B53" i="11"/>
  <c r="C53" i="11"/>
  <c r="D53" i="11"/>
  <c r="E53" i="11"/>
  <c r="F53" i="11"/>
  <c r="G53" i="11"/>
  <c r="B54" i="11"/>
  <c r="C54" i="11"/>
  <c r="D54" i="11"/>
  <c r="E54" i="11"/>
  <c r="F54" i="11"/>
  <c r="G54" i="11"/>
  <c r="B55" i="11"/>
  <c r="C55" i="11"/>
  <c r="D55" i="11"/>
  <c r="E55" i="11"/>
  <c r="F55" i="11"/>
  <c r="G55" i="11"/>
  <c r="B56" i="11"/>
  <c r="D56" i="11"/>
  <c r="E56" i="11"/>
  <c r="F56" i="11"/>
  <c r="G56" i="11"/>
  <c r="B57" i="11"/>
  <c r="C57" i="11"/>
  <c r="D57" i="11"/>
  <c r="E57" i="11"/>
  <c r="F57" i="11"/>
  <c r="G57" i="11"/>
  <c r="B58" i="11"/>
  <c r="C58" i="11"/>
  <c r="D58" i="11"/>
  <c r="E58" i="11"/>
  <c r="F58" i="11"/>
  <c r="G58" i="11"/>
  <c r="B59" i="11"/>
  <c r="C59" i="11"/>
  <c r="D59" i="11"/>
  <c r="E59" i="11"/>
  <c r="F59" i="11"/>
  <c r="G59" i="11"/>
  <c r="B60" i="11"/>
  <c r="C60" i="11"/>
  <c r="D60" i="11"/>
  <c r="E60" i="11"/>
  <c r="F60" i="11"/>
  <c r="G60" i="11"/>
  <c r="C52" i="11"/>
  <c r="D52" i="11"/>
  <c r="E52" i="11"/>
  <c r="F52" i="11"/>
  <c r="G52" i="11"/>
  <c r="B52" i="11"/>
  <c r="Q112"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4" i="9"/>
  <c r="C30" i="11"/>
  <c r="C61" i="11" s="1"/>
  <c r="T35" i="11" s="1"/>
  <c r="D30" i="11"/>
  <c r="E30" i="11"/>
  <c r="E61" i="11" s="1"/>
  <c r="V24" i="11" s="1"/>
  <c r="F30" i="11"/>
  <c r="G30" i="11"/>
  <c r="C31" i="11"/>
  <c r="C62" i="11" s="1"/>
  <c r="D31" i="11"/>
  <c r="E31" i="11"/>
  <c r="E62" i="11" s="1"/>
  <c r="V50" i="11" s="1"/>
  <c r="F31" i="11"/>
  <c r="F62" i="11" s="1"/>
  <c r="W40" i="11" s="1"/>
  <c r="G31" i="11"/>
  <c r="C32" i="11"/>
  <c r="C63" i="11" s="1"/>
  <c r="D32" i="11"/>
  <c r="D63" i="11" s="1"/>
  <c r="U66" i="11" s="1"/>
  <c r="E32" i="11"/>
  <c r="E63" i="11" s="1"/>
  <c r="F32" i="11"/>
  <c r="F63" i="11" s="1"/>
  <c r="G32" i="11"/>
  <c r="C33" i="11"/>
  <c r="C64" i="11" s="1"/>
  <c r="T98" i="11" s="1"/>
  <c r="D33" i="11"/>
  <c r="D64" i="11" s="1"/>
  <c r="E33" i="11"/>
  <c r="F33" i="11"/>
  <c r="F64" i="11" s="1"/>
  <c r="G33" i="11"/>
  <c r="G64" i="11" s="1"/>
  <c r="X86" i="11" s="1"/>
  <c r="C34" i="11"/>
  <c r="C65" i="11" s="1"/>
  <c r="D34" i="11"/>
  <c r="D65" i="11" s="1"/>
  <c r="E34" i="11"/>
  <c r="E65" i="11" s="1"/>
  <c r="F34" i="11"/>
  <c r="F65" i="11" s="1"/>
  <c r="G34" i="11"/>
  <c r="B34" i="11"/>
  <c r="B65" i="11" s="1"/>
  <c r="B33" i="11"/>
  <c r="B64" i="11" s="1"/>
  <c r="B32" i="11"/>
  <c r="B63" i="11" s="1"/>
  <c r="B31" i="11"/>
  <c r="B61" i="11"/>
  <c r="S7" i="11" s="1"/>
  <c r="C9" i="11"/>
  <c r="C10" i="11"/>
  <c r="D10" i="11"/>
  <c r="E10" i="11"/>
  <c r="F10" i="11"/>
  <c r="G10" i="11"/>
  <c r="H10" i="11"/>
  <c r="I10" i="11"/>
  <c r="J10" i="11"/>
  <c r="J8" i="11" s="1"/>
  <c r="B10" i="11"/>
  <c r="D9" i="11"/>
  <c r="E9" i="11"/>
  <c r="F9" i="11"/>
  <c r="G9" i="11"/>
  <c r="H9" i="11"/>
  <c r="H22" i="11" s="1"/>
  <c r="I9" i="11"/>
  <c r="AC5" i="11" l="1"/>
  <c r="M7" i="11"/>
  <c r="AD5" i="11" s="1"/>
  <c r="S78" i="11"/>
  <c r="S208" i="11" s="1"/>
  <c r="S75" i="11"/>
  <c r="T228" i="11"/>
  <c r="O47" i="3"/>
  <c r="N95" i="3"/>
  <c r="N107" i="3"/>
  <c r="N127" i="3"/>
  <c r="N117" i="3"/>
  <c r="O88" i="3"/>
  <c r="N56" i="3"/>
  <c r="N20" i="3"/>
  <c r="O121" i="3"/>
  <c r="O43" i="3"/>
  <c r="O97" i="3"/>
  <c r="O129" i="3"/>
  <c r="N76" i="3"/>
  <c r="N30" i="3"/>
  <c r="O66" i="3"/>
  <c r="N133" i="6"/>
  <c r="N11" i="3"/>
  <c r="N138" i="6"/>
  <c r="O7" i="3"/>
  <c r="N9" i="3"/>
  <c r="H32" i="11"/>
  <c r="I32" i="11" s="1"/>
  <c r="W170" i="11"/>
  <c r="W189" i="11"/>
  <c r="W147" i="11"/>
  <c r="W199" i="11"/>
  <c r="W247" i="11"/>
  <c r="W239" i="11"/>
  <c r="V154" i="11"/>
  <c r="V147" i="11"/>
  <c r="V180" i="11"/>
  <c r="V210" i="11"/>
  <c r="V247" i="11"/>
  <c r="V239" i="11"/>
  <c r="W221" i="11"/>
  <c r="U147" i="11"/>
  <c r="U221" i="11"/>
  <c r="U189" i="11"/>
  <c r="U247" i="11"/>
  <c r="U239" i="11"/>
  <c r="V221" i="11"/>
  <c r="S210" i="11"/>
  <c r="T165" i="11"/>
  <c r="T147" i="11"/>
  <c r="T189" i="11"/>
  <c r="T247" i="11"/>
  <c r="T239" i="11"/>
  <c r="T221" i="11"/>
  <c r="X219" i="11"/>
  <c r="X199" i="11"/>
  <c r="S147" i="11"/>
  <c r="S219" i="11"/>
  <c r="S189" i="11"/>
  <c r="S199" i="11"/>
  <c r="S247" i="11"/>
  <c r="S239" i="11"/>
  <c r="S221" i="11"/>
  <c r="W219" i="11"/>
  <c r="V199" i="11"/>
  <c r="U196" i="11"/>
  <c r="V136" i="11"/>
  <c r="V219" i="11"/>
  <c r="U199" i="11"/>
  <c r="X189" i="11"/>
  <c r="U219" i="11"/>
  <c r="T199" i="11"/>
  <c r="V189" i="11"/>
  <c r="X147" i="11"/>
  <c r="X210" i="11"/>
  <c r="X247" i="11"/>
  <c r="X239" i="11"/>
  <c r="T219" i="11"/>
  <c r="X216" i="11"/>
  <c r="W210" i="11"/>
  <c r="X136" i="11"/>
  <c r="W136" i="11"/>
  <c r="S136" i="11"/>
  <c r="T136" i="11"/>
  <c r="U136" i="11"/>
  <c r="S70" i="11"/>
  <c r="S200" i="11" s="1"/>
  <c r="V31" i="11"/>
  <c r="V161" i="11" s="1"/>
  <c r="V51" i="11"/>
  <c r="V181" i="11" s="1"/>
  <c r="V36" i="11"/>
  <c r="V166" i="11" s="1"/>
  <c r="V54" i="11"/>
  <c r="V184" i="11" s="1"/>
  <c r="U70" i="11"/>
  <c r="U200" i="11" s="1"/>
  <c r="V40" i="11"/>
  <c r="V170" i="11" s="1"/>
  <c r="V58" i="11"/>
  <c r="V188" i="11" s="1"/>
  <c r="S74" i="11"/>
  <c r="S204" i="11" s="1"/>
  <c r="S64" i="11"/>
  <c r="S194" i="11" s="1"/>
  <c r="U79" i="11"/>
  <c r="U209" i="11" s="1"/>
  <c r="T9" i="11"/>
  <c r="T139" i="11" s="1"/>
  <c r="V42" i="11"/>
  <c r="V172" i="11" s="1"/>
  <c r="U64" i="11"/>
  <c r="U194" i="11" s="1"/>
  <c r="T84" i="11"/>
  <c r="T214" i="11" s="1"/>
  <c r="V16" i="11"/>
  <c r="V146" i="11" s="1"/>
  <c r="V43" i="11"/>
  <c r="V173" i="11" s="1"/>
  <c r="U65" i="11"/>
  <c r="U195" i="11" s="1"/>
  <c r="X92" i="11"/>
  <c r="X222" i="11" s="1"/>
  <c r="T22" i="11"/>
  <c r="T152" i="11" s="1"/>
  <c r="V44" i="11"/>
  <c r="V174" i="11" s="1"/>
  <c r="X96" i="11"/>
  <c r="X226" i="11" s="1"/>
  <c r="V26" i="11"/>
  <c r="V156" i="11" s="1"/>
  <c r="S68" i="11"/>
  <c r="S198" i="11" s="1"/>
  <c r="S33" i="11"/>
  <c r="S163" i="11" s="1"/>
  <c r="S29" i="11"/>
  <c r="S159" i="11" s="1"/>
  <c r="S25" i="11"/>
  <c r="S155" i="11" s="1"/>
  <c r="S21" i="11"/>
  <c r="S151" i="11" s="1"/>
  <c r="S16" i="11"/>
  <c r="S146" i="11" s="1"/>
  <c r="S31" i="11"/>
  <c r="S161" i="11" s="1"/>
  <c r="S22" i="11"/>
  <c r="S152" i="11" s="1"/>
  <c r="S13" i="11"/>
  <c r="S143" i="11" s="1"/>
  <c r="S9" i="11"/>
  <c r="S139" i="11" s="1"/>
  <c r="S20" i="11"/>
  <c r="S150" i="11" s="1"/>
  <c r="S34" i="11"/>
  <c r="S164" i="11" s="1"/>
  <c r="S27" i="11"/>
  <c r="S157" i="11" s="1"/>
  <c r="S18" i="11"/>
  <c r="S148" i="11" s="1"/>
  <c r="S14" i="11"/>
  <c r="S144" i="11" s="1"/>
  <c r="S10" i="11"/>
  <c r="S140" i="11" s="1"/>
  <c r="S32" i="11"/>
  <c r="S162" i="11" s="1"/>
  <c r="S35" i="11"/>
  <c r="S165" i="11" s="1"/>
  <c r="S26" i="11"/>
  <c r="S156" i="11" s="1"/>
  <c r="S19" i="11"/>
  <c r="S149" i="11" s="1"/>
  <c r="S12" i="11"/>
  <c r="S142" i="11" s="1"/>
  <c r="S8" i="11"/>
  <c r="S138" i="11" s="1"/>
  <c r="U123" i="11"/>
  <c r="U253" i="11" s="1"/>
  <c r="U119" i="11"/>
  <c r="U249" i="11" s="1"/>
  <c r="U124" i="11"/>
  <c r="U254" i="11" s="1"/>
  <c r="U120" i="11"/>
  <c r="U250" i="11" s="1"/>
  <c r="U121" i="11"/>
  <c r="U251" i="11" s="1"/>
  <c r="U116" i="11"/>
  <c r="U246" i="11" s="1"/>
  <c r="U112" i="11"/>
  <c r="U242" i="11" s="1"/>
  <c r="U107" i="11"/>
  <c r="U237" i="11" s="1"/>
  <c r="U108" i="11"/>
  <c r="U238" i="11" s="1"/>
  <c r="U118" i="11"/>
  <c r="U248" i="11" s="1"/>
  <c r="U114" i="11"/>
  <c r="U244" i="11" s="1"/>
  <c r="U105" i="11"/>
  <c r="U235" i="11" s="1"/>
  <c r="U111" i="11"/>
  <c r="U241" i="11" s="1"/>
  <c r="U110" i="11"/>
  <c r="U240" i="11" s="1"/>
  <c r="U115" i="11"/>
  <c r="U245" i="11" s="1"/>
  <c r="U106" i="11"/>
  <c r="U236" i="11" s="1"/>
  <c r="U122" i="11"/>
  <c r="U252" i="11" s="1"/>
  <c r="U104" i="11"/>
  <c r="U234" i="11" s="1"/>
  <c r="U113" i="11"/>
  <c r="U243" i="11" s="1"/>
  <c r="W78" i="11"/>
  <c r="W208" i="11" s="1"/>
  <c r="W74" i="11"/>
  <c r="W204" i="11" s="1"/>
  <c r="W70" i="11"/>
  <c r="W200" i="11" s="1"/>
  <c r="W79" i="11"/>
  <c r="W209" i="11" s="1"/>
  <c r="W75" i="11"/>
  <c r="W205" i="11" s="1"/>
  <c r="W77" i="11"/>
  <c r="W207" i="11" s="1"/>
  <c r="W73" i="11"/>
  <c r="W203" i="11" s="1"/>
  <c r="W68" i="11"/>
  <c r="W198" i="11" s="1"/>
  <c r="W64" i="11"/>
  <c r="W194" i="11" s="1"/>
  <c r="W76" i="11"/>
  <c r="W206" i="11" s="1"/>
  <c r="W67" i="11"/>
  <c r="W197" i="11" s="1"/>
  <c r="W71" i="11"/>
  <c r="W201" i="11" s="1"/>
  <c r="W62" i="11"/>
  <c r="W192" i="11" s="1"/>
  <c r="W81" i="11"/>
  <c r="W211" i="11" s="1"/>
  <c r="W66" i="11"/>
  <c r="W196" i="11" s="1"/>
  <c r="W63" i="11"/>
  <c r="W193" i="11" s="1"/>
  <c r="W65" i="11"/>
  <c r="W195" i="11" s="1"/>
  <c r="W72" i="11"/>
  <c r="W202" i="11" s="1"/>
  <c r="T60" i="11"/>
  <c r="T190" i="11" s="1"/>
  <c r="T55" i="11"/>
  <c r="T185" i="11" s="1"/>
  <c r="T51" i="11"/>
  <c r="T181" i="11" s="1"/>
  <c r="T47" i="11"/>
  <c r="T177" i="11" s="1"/>
  <c r="T61" i="11"/>
  <c r="T191" i="11" s="1"/>
  <c r="T56" i="11"/>
  <c r="T186" i="11" s="1"/>
  <c r="T52" i="11"/>
  <c r="T182" i="11" s="1"/>
  <c r="T48" i="11"/>
  <c r="T178" i="11" s="1"/>
  <c r="T44" i="11"/>
  <c r="T174" i="11" s="1"/>
  <c r="T40" i="11"/>
  <c r="T170" i="11" s="1"/>
  <c r="T36" i="11"/>
  <c r="T166" i="11" s="1"/>
  <c r="T49" i="11"/>
  <c r="T179" i="11" s="1"/>
  <c r="T45" i="11"/>
  <c r="T175" i="11" s="1"/>
  <c r="T53" i="11"/>
  <c r="T183" i="11" s="1"/>
  <c r="T43" i="11"/>
  <c r="T173" i="11" s="1"/>
  <c r="T57" i="11"/>
  <c r="T187" i="11" s="1"/>
  <c r="T41" i="11"/>
  <c r="T171" i="11" s="1"/>
  <c r="T46" i="11"/>
  <c r="T176" i="11" s="1"/>
  <c r="T39" i="11"/>
  <c r="T169" i="11" s="1"/>
  <c r="T50" i="11"/>
  <c r="T180" i="11" s="1"/>
  <c r="T58" i="11"/>
  <c r="T188" i="11" s="1"/>
  <c r="S99" i="11"/>
  <c r="S229" i="11" s="1"/>
  <c r="S95" i="11"/>
  <c r="S225" i="11" s="1"/>
  <c r="S90" i="11"/>
  <c r="S220" i="11" s="1"/>
  <c r="S85" i="11"/>
  <c r="S215" i="11" s="1"/>
  <c r="S103" i="11"/>
  <c r="S233" i="11" s="1"/>
  <c r="S100" i="11"/>
  <c r="S230" i="11" s="1"/>
  <c r="S96" i="11"/>
  <c r="S226" i="11" s="1"/>
  <c r="S92" i="11"/>
  <c r="S222" i="11" s="1"/>
  <c r="S86" i="11"/>
  <c r="S216" i="11" s="1"/>
  <c r="S82" i="11"/>
  <c r="S212" i="11" s="1"/>
  <c r="S98" i="11"/>
  <c r="S228" i="11" s="1"/>
  <c r="S94" i="11"/>
  <c r="S224" i="11" s="1"/>
  <c r="S88" i="11"/>
  <c r="S218" i="11" s="1"/>
  <c r="S84" i="11"/>
  <c r="S214" i="11" s="1"/>
  <c r="S102" i="11"/>
  <c r="S232" i="11" s="1"/>
  <c r="S101" i="11"/>
  <c r="S231" i="11" s="1"/>
  <c r="S83" i="11"/>
  <c r="S213" i="11" s="1"/>
  <c r="S87" i="11"/>
  <c r="S217" i="11" s="1"/>
  <c r="S93" i="11"/>
  <c r="S223" i="11" s="1"/>
  <c r="S97" i="11"/>
  <c r="S227" i="11" s="1"/>
  <c r="T77" i="11"/>
  <c r="T207" i="11" s="1"/>
  <c r="T73" i="11"/>
  <c r="T203" i="11" s="1"/>
  <c r="T68" i="11"/>
  <c r="T198" i="11" s="1"/>
  <c r="T64" i="11"/>
  <c r="T194" i="11" s="1"/>
  <c r="T78" i="11"/>
  <c r="T208" i="11" s="1"/>
  <c r="T74" i="11"/>
  <c r="T204" i="11" s="1"/>
  <c r="T70" i="11"/>
  <c r="T200" i="11" s="1"/>
  <c r="T65" i="11"/>
  <c r="T195" i="11" s="1"/>
  <c r="T81" i="11"/>
  <c r="T211" i="11" s="1"/>
  <c r="T76" i="11"/>
  <c r="T206" i="11" s="1"/>
  <c r="T72" i="11"/>
  <c r="T202" i="11" s="1"/>
  <c r="T67" i="11"/>
  <c r="T197" i="11" s="1"/>
  <c r="T71" i="11"/>
  <c r="T201" i="11" s="1"/>
  <c r="T75" i="11"/>
  <c r="T205" i="11" s="1"/>
  <c r="T62" i="11"/>
  <c r="T192" i="11" s="1"/>
  <c r="T66" i="11"/>
  <c r="T196" i="11" s="1"/>
  <c r="T79" i="11"/>
  <c r="T209" i="11" s="1"/>
  <c r="T63" i="11"/>
  <c r="T193" i="11" s="1"/>
  <c r="S122" i="11"/>
  <c r="S252" i="11" s="1"/>
  <c r="S118" i="11"/>
  <c r="S248" i="11" s="1"/>
  <c r="S123" i="11"/>
  <c r="S253" i="11" s="1"/>
  <c r="S119" i="11"/>
  <c r="S249" i="11" s="1"/>
  <c r="S124" i="11"/>
  <c r="S254" i="11" s="1"/>
  <c r="S120" i="11"/>
  <c r="S250" i="11" s="1"/>
  <c r="S115" i="11"/>
  <c r="S245" i="11" s="1"/>
  <c r="S111" i="11"/>
  <c r="S241" i="11" s="1"/>
  <c r="S106" i="11"/>
  <c r="S236" i="11" s="1"/>
  <c r="S112" i="11"/>
  <c r="S242" i="11" s="1"/>
  <c r="S108" i="11"/>
  <c r="S238" i="11" s="1"/>
  <c r="S114" i="11"/>
  <c r="S244" i="11" s="1"/>
  <c r="S105" i="11"/>
  <c r="S235" i="11" s="1"/>
  <c r="S121" i="11"/>
  <c r="S251" i="11" s="1"/>
  <c r="S113" i="11"/>
  <c r="S243" i="11" s="1"/>
  <c r="S110" i="11"/>
  <c r="S240" i="11" s="1"/>
  <c r="S104" i="11"/>
  <c r="S234" i="11" s="1"/>
  <c r="S107" i="11"/>
  <c r="S237" i="11" s="1"/>
  <c r="S116" i="11"/>
  <c r="S246" i="11" s="1"/>
  <c r="H31" i="11"/>
  <c r="T8" i="11"/>
  <c r="T138" i="11" s="1"/>
  <c r="T15" i="11"/>
  <c r="T145" i="11" s="1"/>
  <c r="S30" i="11"/>
  <c r="S160" i="11" s="1"/>
  <c r="H27" i="11"/>
  <c r="Y109" i="11" s="1"/>
  <c r="H24" i="11"/>
  <c r="Y80" i="11" s="1"/>
  <c r="G65" i="11"/>
  <c r="H34" i="11"/>
  <c r="U103" i="11"/>
  <c r="U233" i="11" s="1"/>
  <c r="U100" i="11"/>
  <c r="U230" i="11" s="1"/>
  <c r="U96" i="11"/>
  <c r="U226" i="11" s="1"/>
  <c r="U92" i="11"/>
  <c r="U222" i="11" s="1"/>
  <c r="U86" i="11"/>
  <c r="U216" i="11" s="1"/>
  <c r="U82" i="11"/>
  <c r="U212" i="11" s="1"/>
  <c r="U101" i="11"/>
  <c r="U231" i="11" s="1"/>
  <c r="U97" i="11"/>
  <c r="U227" i="11" s="1"/>
  <c r="U93" i="11"/>
  <c r="U223" i="11" s="1"/>
  <c r="U87" i="11"/>
  <c r="U217" i="11" s="1"/>
  <c r="U83" i="11"/>
  <c r="U213" i="11" s="1"/>
  <c r="U99" i="11"/>
  <c r="U229" i="11" s="1"/>
  <c r="U95" i="11"/>
  <c r="U225" i="11" s="1"/>
  <c r="U90" i="11"/>
  <c r="U220" i="11" s="1"/>
  <c r="U85" i="11"/>
  <c r="U215" i="11" s="1"/>
  <c r="U88" i="11"/>
  <c r="U218" i="11" s="1"/>
  <c r="U94" i="11"/>
  <c r="U224" i="11" s="1"/>
  <c r="U98" i="11"/>
  <c r="U228" i="11" s="1"/>
  <c r="U84" i="11"/>
  <c r="U214" i="11" s="1"/>
  <c r="U102" i="11"/>
  <c r="U232" i="11" s="1"/>
  <c r="W60" i="11"/>
  <c r="W190" i="11" s="1"/>
  <c r="W55" i="11"/>
  <c r="W185" i="11" s="1"/>
  <c r="W51" i="11"/>
  <c r="W181" i="11" s="1"/>
  <c r="W47" i="11"/>
  <c r="W177" i="11" s="1"/>
  <c r="W43" i="11"/>
  <c r="W173" i="11" s="1"/>
  <c r="W39" i="11"/>
  <c r="W169" i="11" s="1"/>
  <c r="W57" i="11"/>
  <c r="W187" i="11" s="1"/>
  <c r="W41" i="11"/>
  <c r="W171" i="11" s="1"/>
  <c r="W46" i="11"/>
  <c r="W176" i="11" s="1"/>
  <c r="W50" i="11"/>
  <c r="W180" i="11" s="1"/>
  <c r="W48" i="11"/>
  <c r="W178" i="11" s="1"/>
  <c r="W44" i="11"/>
  <c r="W174" i="11" s="1"/>
  <c r="W37" i="11"/>
  <c r="W167" i="11" s="1"/>
  <c r="W52" i="11"/>
  <c r="W182" i="11" s="1"/>
  <c r="W42" i="11"/>
  <c r="W172" i="11" s="1"/>
  <c r="W54" i="11"/>
  <c r="W184" i="11" s="1"/>
  <c r="W58" i="11"/>
  <c r="W188" i="11" s="1"/>
  <c r="W56" i="11"/>
  <c r="W186" i="11" s="1"/>
  <c r="W61" i="11"/>
  <c r="W191" i="11" s="1"/>
  <c r="W49" i="11"/>
  <c r="W179" i="11" s="1"/>
  <c r="W45" i="11"/>
  <c r="W175" i="11" s="1"/>
  <c r="W36" i="11"/>
  <c r="W166" i="11" s="1"/>
  <c r="T32" i="11"/>
  <c r="T162" i="11" s="1"/>
  <c r="T28" i="11"/>
  <c r="T158" i="11" s="1"/>
  <c r="T24" i="11"/>
  <c r="T154" i="11" s="1"/>
  <c r="T20" i="11"/>
  <c r="T150" i="11" s="1"/>
  <c r="T29" i="11"/>
  <c r="T159" i="11" s="1"/>
  <c r="T34" i="11"/>
  <c r="T164" i="11" s="1"/>
  <c r="T27" i="11"/>
  <c r="T157" i="11" s="1"/>
  <c r="T18" i="11"/>
  <c r="T148" i="11" s="1"/>
  <c r="T14" i="11"/>
  <c r="T144" i="11" s="1"/>
  <c r="T10" i="11"/>
  <c r="T140" i="11" s="1"/>
  <c r="T25" i="11"/>
  <c r="T155" i="11" s="1"/>
  <c r="T23" i="11"/>
  <c r="T153" i="11" s="1"/>
  <c r="T7" i="11"/>
  <c r="T137" i="11" s="1"/>
  <c r="T30" i="11"/>
  <c r="T160" i="11" s="1"/>
  <c r="T11" i="11"/>
  <c r="T141" i="11" s="1"/>
  <c r="T33" i="11"/>
  <c r="T163" i="11" s="1"/>
  <c r="H33" i="11"/>
  <c r="H23" i="11"/>
  <c r="Y69" i="11" s="1"/>
  <c r="T12" i="11"/>
  <c r="T142" i="11" s="1"/>
  <c r="T16" i="11"/>
  <c r="T146" i="11" s="1"/>
  <c r="T21" i="11"/>
  <c r="T151" i="11" s="1"/>
  <c r="T26" i="11"/>
  <c r="T156" i="11" s="1"/>
  <c r="T31" i="11"/>
  <c r="T161" i="11" s="1"/>
  <c r="V124" i="11"/>
  <c r="V254" i="11" s="1"/>
  <c r="V120" i="11"/>
  <c r="V250" i="11" s="1"/>
  <c r="V115" i="11"/>
  <c r="V245" i="11" s="1"/>
  <c r="V111" i="11"/>
  <c r="V241" i="11" s="1"/>
  <c r="V106" i="11"/>
  <c r="V236" i="11" s="1"/>
  <c r="V121" i="11"/>
  <c r="V251" i="11" s="1"/>
  <c r="V116" i="11"/>
  <c r="V246" i="11" s="1"/>
  <c r="V112" i="11"/>
  <c r="V242" i="11" s="1"/>
  <c r="V107" i="11"/>
  <c r="V237" i="11" s="1"/>
  <c r="V122" i="11"/>
  <c r="V252" i="11" s="1"/>
  <c r="V118" i="11"/>
  <c r="V248" i="11" s="1"/>
  <c r="V113" i="11"/>
  <c r="V243" i="11" s="1"/>
  <c r="V108" i="11"/>
  <c r="V238" i="11" s="1"/>
  <c r="V104" i="11"/>
  <c r="V234" i="11" s="1"/>
  <c r="V119" i="11"/>
  <c r="V249" i="11" s="1"/>
  <c r="V114" i="11"/>
  <c r="V244" i="11" s="1"/>
  <c r="V105" i="11"/>
  <c r="V235" i="11" s="1"/>
  <c r="V123" i="11"/>
  <c r="V253" i="11" s="1"/>
  <c r="V110" i="11"/>
  <c r="V240" i="11" s="1"/>
  <c r="H26" i="11"/>
  <c r="Y91" i="11" s="1"/>
  <c r="V9" i="11"/>
  <c r="V139" i="11" s="1"/>
  <c r="T13" i="11"/>
  <c r="T143" i="11" s="1"/>
  <c r="V27" i="11"/>
  <c r="V157" i="11" s="1"/>
  <c r="H21" i="11"/>
  <c r="Y17" i="11" s="1"/>
  <c r="V13" i="11"/>
  <c r="V143" i="11" s="1"/>
  <c r="S23" i="11"/>
  <c r="S153" i="11" s="1"/>
  <c r="S28" i="11"/>
  <c r="S158" i="11" s="1"/>
  <c r="T37" i="11"/>
  <c r="T167" i="11" s="1"/>
  <c r="T42" i="11"/>
  <c r="T172" i="11" s="1"/>
  <c r="W53" i="11"/>
  <c r="W183" i="11" s="1"/>
  <c r="H20" i="11"/>
  <c r="H25" i="11"/>
  <c r="Y89" i="11" s="1"/>
  <c r="S137" i="11"/>
  <c r="V10" i="11"/>
  <c r="V140" i="11" s="1"/>
  <c r="T19" i="11"/>
  <c r="T149" i="11" s="1"/>
  <c r="S24" i="11"/>
  <c r="S154" i="11" s="1"/>
  <c r="T38" i="11"/>
  <c r="T168" i="11" s="1"/>
  <c r="T54" i="11"/>
  <c r="T184" i="11" s="1"/>
  <c r="T123" i="11"/>
  <c r="T253" i="11" s="1"/>
  <c r="T119" i="11"/>
  <c r="T249" i="11" s="1"/>
  <c r="T114" i="11"/>
  <c r="T244" i="11" s="1"/>
  <c r="T110" i="11"/>
  <c r="T240" i="11" s="1"/>
  <c r="T105" i="11"/>
  <c r="T235" i="11" s="1"/>
  <c r="T124" i="11"/>
  <c r="T254" i="11" s="1"/>
  <c r="T120" i="11"/>
  <c r="T250" i="11" s="1"/>
  <c r="T115" i="11"/>
  <c r="T245" i="11" s="1"/>
  <c r="T111" i="11"/>
  <c r="T241" i="11" s="1"/>
  <c r="T106" i="11"/>
  <c r="T236" i="11" s="1"/>
  <c r="T121" i="11"/>
  <c r="T251" i="11" s="1"/>
  <c r="T116" i="11"/>
  <c r="T246" i="11" s="1"/>
  <c r="T112" i="11"/>
  <c r="T242" i="11" s="1"/>
  <c r="T107" i="11"/>
  <c r="T237" i="11" s="1"/>
  <c r="T108" i="11"/>
  <c r="T238" i="11" s="1"/>
  <c r="T118" i="11"/>
  <c r="T248" i="11" s="1"/>
  <c r="T104" i="11"/>
  <c r="T234" i="11" s="1"/>
  <c r="T122" i="11"/>
  <c r="T252" i="11" s="1"/>
  <c r="T113" i="11"/>
  <c r="T243" i="11" s="1"/>
  <c r="V78" i="11"/>
  <c r="V208" i="11" s="1"/>
  <c r="V74" i="11"/>
  <c r="V204" i="11" s="1"/>
  <c r="V70" i="11"/>
  <c r="V200" i="11" s="1"/>
  <c r="V65" i="11"/>
  <c r="V195" i="11" s="1"/>
  <c r="V79" i="11"/>
  <c r="V209" i="11" s="1"/>
  <c r="V75" i="11"/>
  <c r="V205" i="11" s="1"/>
  <c r="V71" i="11"/>
  <c r="V201" i="11" s="1"/>
  <c r="V66" i="11"/>
  <c r="V196" i="11" s="1"/>
  <c r="V62" i="11"/>
  <c r="V192" i="11" s="1"/>
  <c r="V77" i="11"/>
  <c r="V207" i="11" s="1"/>
  <c r="V73" i="11"/>
  <c r="V203" i="11" s="1"/>
  <c r="V68" i="11"/>
  <c r="V198" i="11" s="1"/>
  <c r="V72" i="11"/>
  <c r="V202" i="11" s="1"/>
  <c r="V76" i="11"/>
  <c r="V206" i="11" s="1"/>
  <c r="V67" i="11"/>
  <c r="V197" i="11" s="1"/>
  <c r="V64" i="11"/>
  <c r="V194" i="11" s="1"/>
  <c r="V81" i="11"/>
  <c r="V211" i="11" s="1"/>
  <c r="V63" i="11"/>
  <c r="V193" i="11" s="1"/>
  <c r="G61" i="11"/>
  <c r="H30" i="11"/>
  <c r="H28" i="11"/>
  <c r="Y117" i="11" s="1"/>
  <c r="V7" i="11"/>
  <c r="V137" i="11" s="1"/>
  <c r="V14" i="11"/>
  <c r="V144" i="11" s="1"/>
  <c r="W38" i="11"/>
  <c r="W168" i="11" s="1"/>
  <c r="W103" i="11"/>
  <c r="W233" i="11" s="1"/>
  <c r="W101" i="11"/>
  <c r="W231" i="11" s="1"/>
  <c r="W97" i="11"/>
  <c r="W227" i="11" s="1"/>
  <c r="W93" i="11"/>
  <c r="W223" i="11" s="1"/>
  <c r="W87" i="11"/>
  <c r="W217" i="11" s="1"/>
  <c r="W83" i="11"/>
  <c r="W213" i="11" s="1"/>
  <c r="W98" i="11"/>
  <c r="W228" i="11" s="1"/>
  <c r="W94" i="11"/>
  <c r="W224" i="11" s="1"/>
  <c r="W88" i="11"/>
  <c r="W218" i="11" s="1"/>
  <c r="W84" i="11"/>
  <c r="W214" i="11" s="1"/>
  <c r="W100" i="11"/>
  <c r="W230" i="11" s="1"/>
  <c r="W96" i="11"/>
  <c r="W226" i="11" s="1"/>
  <c r="W92" i="11"/>
  <c r="W222" i="11" s="1"/>
  <c r="W86" i="11"/>
  <c r="W216" i="11" s="1"/>
  <c r="W82" i="11"/>
  <c r="W212" i="11" s="1"/>
  <c r="W95" i="11"/>
  <c r="W225" i="11" s="1"/>
  <c r="W99" i="11"/>
  <c r="W229" i="11" s="1"/>
  <c r="W85" i="11"/>
  <c r="W215" i="11" s="1"/>
  <c r="W102" i="11"/>
  <c r="W232" i="11" s="1"/>
  <c r="W90" i="11"/>
  <c r="W220" i="11" s="1"/>
  <c r="V33" i="11"/>
  <c r="V163" i="11" s="1"/>
  <c r="V29" i="11"/>
  <c r="V159" i="11" s="1"/>
  <c r="V25" i="11"/>
  <c r="V155" i="11" s="1"/>
  <c r="V21" i="11"/>
  <c r="V151" i="11" s="1"/>
  <c r="V34" i="11"/>
  <c r="V164" i="11" s="1"/>
  <c r="V18" i="11"/>
  <c r="V148" i="11" s="1"/>
  <c r="V32" i="11"/>
  <c r="V162" i="11" s="1"/>
  <c r="V23" i="11"/>
  <c r="V153" i="11" s="1"/>
  <c r="V11" i="11"/>
  <c r="V141" i="11" s="1"/>
  <c r="V30" i="11"/>
  <c r="V160" i="11" s="1"/>
  <c r="V15" i="11"/>
  <c r="V145" i="11" s="1"/>
  <c r="V19" i="11"/>
  <c r="V149" i="11" s="1"/>
  <c r="V12" i="11"/>
  <c r="V142" i="11" s="1"/>
  <c r="V35" i="11"/>
  <c r="V165" i="11" s="1"/>
  <c r="V28" i="11"/>
  <c r="V158" i="11" s="1"/>
  <c r="V8" i="11"/>
  <c r="V138" i="11" s="1"/>
  <c r="V22" i="11"/>
  <c r="V152" i="11" s="1"/>
  <c r="S11" i="11"/>
  <c r="S141" i="11" s="1"/>
  <c r="S15" i="11"/>
  <c r="S145" i="11" s="1"/>
  <c r="V20" i="11"/>
  <c r="V150" i="11" s="1"/>
  <c r="W124" i="11"/>
  <c r="W254" i="11" s="1"/>
  <c r="W120" i="11"/>
  <c r="W250" i="11" s="1"/>
  <c r="W121" i="11"/>
  <c r="W251" i="11" s="1"/>
  <c r="W116" i="11"/>
  <c r="W246" i="11" s="1"/>
  <c r="W122" i="11"/>
  <c r="W252" i="11" s="1"/>
  <c r="W118" i="11"/>
  <c r="W248" i="11" s="1"/>
  <c r="W113" i="11"/>
  <c r="W243" i="11" s="1"/>
  <c r="W108" i="11"/>
  <c r="W238" i="11" s="1"/>
  <c r="W104" i="11"/>
  <c r="W234" i="11" s="1"/>
  <c r="W119" i="11"/>
  <c r="W249" i="11" s="1"/>
  <c r="W114" i="11"/>
  <c r="W244" i="11" s="1"/>
  <c r="W105" i="11"/>
  <c r="W235" i="11" s="1"/>
  <c r="W123" i="11"/>
  <c r="W253" i="11" s="1"/>
  <c r="W111" i="11"/>
  <c r="W241" i="11" s="1"/>
  <c r="W107" i="11"/>
  <c r="W237" i="11" s="1"/>
  <c r="W115" i="11"/>
  <c r="W245" i="11" s="1"/>
  <c r="W106" i="11"/>
  <c r="W236" i="11" s="1"/>
  <c r="W112" i="11"/>
  <c r="W242" i="11" s="1"/>
  <c r="T103" i="11"/>
  <c r="T233" i="11" s="1"/>
  <c r="T100" i="11"/>
  <c r="T230" i="11" s="1"/>
  <c r="T96" i="11"/>
  <c r="T226" i="11" s="1"/>
  <c r="T92" i="11"/>
  <c r="T222" i="11" s="1"/>
  <c r="T86" i="11"/>
  <c r="T216" i="11" s="1"/>
  <c r="T82" i="11"/>
  <c r="T212" i="11" s="1"/>
  <c r="T101" i="11"/>
  <c r="T231" i="11" s="1"/>
  <c r="T97" i="11"/>
  <c r="T227" i="11" s="1"/>
  <c r="T93" i="11"/>
  <c r="T223" i="11" s="1"/>
  <c r="T87" i="11"/>
  <c r="T217" i="11" s="1"/>
  <c r="T83" i="11"/>
  <c r="T213" i="11" s="1"/>
  <c r="T102" i="11"/>
  <c r="T232" i="11" s="1"/>
  <c r="T99" i="11"/>
  <c r="T229" i="11" s="1"/>
  <c r="T95" i="11"/>
  <c r="T225" i="11" s="1"/>
  <c r="T90" i="11"/>
  <c r="T220" i="11" s="1"/>
  <c r="T85" i="11"/>
  <c r="T215" i="11" s="1"/>
  <c r="V61" i="11"/>
  <c r="V191" i="11" s="1"/>
  <c r="V56" i="11"/>
  <c r="V186" i="11" s="1"/>
  <c r="V52" i="11"/>
  <c r="V182" i="11" s="1"/>
  <c r="V48" i="11"/>
  <c r="V178" i="11" s="1"/>
  <c r="V57" i="11"/>
  <c r="V187" i="11" s="1"/>
  <c r="V53" i="11"/>
  <c r="V183" i="11" s="1"/>
  <c r="V49" i="11"/>
  <c r="V179" i="11" s="1"/>
  <c r="V45" i="11"/>
  <c r="V175" i="11" s="1"/>
  <c r="V41" i="11"/>
  <c r="V171" i="11" s="1"/>
  <c r="V37" i="11"/>
  <c r="V167" i="11" s="1"/>
  <c r="V38" i="11"/>
  <c r="V168" i="11" s="1"/>
  <c r="V47" i="11"/>
  <c r="V177" i="11" s="1"/>
  <c r="S73" i="11"/>
  <c r="S203" i="11" s="1"/>
  <c r="T94" i="11"/>
  <c r="T224" i="11" s="1"/>
  <c r="S81" i="11"/>
  <c r="S211" i="11" s="1"/>
  <c r="S76" i="11"/>
  <c r="S206" i="11" s="1"/>
  <c r="S72" i="11"/>
  <c r="S202" i="11" s="1"/>
  <c r="S67" i="11"/>
  <c r="S197" i="11" s="1"/>
  <c r="S77" i="11"/>
  <c r="S207" i="11" s="1"/>
  <c r="S79" i="11"/>
  <c r="S209" i="11" s="1"/>
  <c r="S205" i="11"/>
  <c r="S71" i="11"/>
  <c r="S201" i="11" s="1"/>
  <c r="S66" i="11"/>
  <c r="S196" i="11" s="1"/>
  <c r="S62" i="11"/>
  <c r="S192" i="11" s="1"/>
  <c r="X103" i="11"/>
  <c r="X233" i="11" s="1"/>
  <c r="X101" i="11"/>
  <c r="X231" i="11" s="1"/>
  <c r="X98" i="11"/>
  <c r="X228" i="11" s="1"/>
  <c r="X94" i="11"/>
  <c r="X224" i="11" s="1"/>
  <c r="X88" i="11"/>
  <c r="X218" i="11" s="1"/>
  <c r="X84" i="11"/>
  <c r="X214" i="11" s="1"/>
  <c r="X102" i="11"/>
  <c r="X232" i="11" s="1"/>
  <c r="X99" i="11"/>
  <c r="X229" i="11" s="1"/>
  <c r="X95" i="11"/>
  <c r="X225" i="11" s="1"/>
  <c r="X90" i="11"/>
  <c r="X220" i="11" s="1"/>
  <c r="X85" i="11"/>
  <c r="X215" i="11" s="1"/>
  <c r="X97" i="11"/>
  <c r="X227" i="11" s="1"/>
  <c r="X93" i="11"/>
  <c r="X223" i="11" s="1"/>
  <c r="X87" i="11"/>
  <c r="X217" i="11" s="1"/>
  <c r="X83" i="11"/>
  <c r="X213" i="11" s="1"/>
  <c r="U77" i="11"/>
  <c r="U207" i="11" s="1"/>
  <c r="U73" i="11"/>
  <c r="U203" i="11" s="1"/>
  <c r="U68" i="11"/>
  <c r="U198" i="11" s="1"/>
  <c r="U78" i="11"/>
  <c r="U208" i="11" s="1"/>
  <c r="U74" i="11"/>
  <c r="U204" i="11" s="1"/>
  <c r="U81" i="11"/>
  <c r="U211" i="11" s="1"/>
  <c r="U76" i="11"/>
  <c r="U206" i="11" s="1"/>
  <c r="U72" i="11"/>
  <c r="U202" i="11" s="1"/>
  <c r="U67" i="11"/>
  <c r="U197" i="11" s="1"/>
  <c r="U63" i="11"/>
  <c r="U193" i="11" s="1"/>
  <c r="V46" i="11"/>
  <c r="V176" i="11" s="1"/>
  <c r="U62" i="11"/>
  <c r="U192" i="11" s="1"/>
  <c r="U71" i="11"/>
  <c r="U201" i="11" s="1"/>
  <c r="U75" i="11"/>
  <c r="U205" i="11" s="1"/>
  <c r="V39" i="11"/>
  <c r="V169" i="11" s="1"/>
  <c r="V60" i="11"/>
  <c r="V190" i="11" s="1"/>
  <c r="X82" i="11"/>
  <c r="X212" i="11" s="1"/>
  <c r="T88" i="11"/>
  <c r="T218" i="11" s="1"/>
  <c r="X100" i="11"/>
  <c r="X230" i="11" s="1"/>
  <c r="V55" i="11"/>
  <c r="V185" i="11" s="1"/>
  <c r="S63" i="11"/>
  <c r="S193" i="11" s="1"/>
  <c r="S65" i="11"/>
  <c r="S195" i="11" s="1"/>
  <c r="W110" i="11"/>
  <c r="W240" i="11" s="1"/>
  <c r="AA130" i="11"/>
  <c r="B62" i="11"/>
  <c r="F61" i="11"/>
  <c r="E64" i="11"/>
  <c r="G62" i="11"/>
  <c r="D61" i="11"/>
  <c r="G63" i="11"/>
  <c r="D62" i="11"/>
  <c r="K5" i="11"/>
  <c r="K6" i="12" s="1"/>
  <c r="K7" i="12" s="1"/>
  <c r="K5" i="12" s="1"/>
  <c r="E5" i="3"/>
  <c r="H5" i="3" s="1"/>
  <c r="Y6" i="11" l="1"/>
  <c r="H35" i="11"/>
  <c r="I22" i="11"/>
  <c r="Z59" i="11" s="1"/>
  <c r="Y59" i="11"/>
  <c r="H54" i="11"/>
  <c r="O11" i="3"/>
  <c r="O77" i="3"/>
  <c r="O24" i="3"/>
  <c r="O120" i="3"/>
  <c r="O51" i="3"/>
  <c r="O101" i="3"/>
  <c r="O63" i="3"/>
  <c r="O30" i="3"/>
  <c r="O124" i="3"/>
  <c r="O75" i="3"/>
  <c r="O105" i="3"/>
  <c r="O85" i="3"/>
  <c r="O32" i="3"/>
  <c r="O60" i="3"/>
  <c r="O112" i="3"/>
  <c r="O72" i="3"/>
  <c r="O95" i="3"/>
  <c r="O83" i="3"/>
  <c r="O128" i="3"/>
  <c r="O109" i="3"/>
  <c r="O50" i="3"/>
  <c r="O56" i="3"/>
  <c r="O70" i="3"/>
  <c r="O26" i="3"/>
  <c r="O91" i="3"/>
  <c r="O38" i="3"/>
  <c r="O20" i="3"/>
  <c r="O93" i="3"/>
  <c r="O21" i="3"/>
  <c r="O119" i="3"/>
  <c r="O58" i="3"/>
  <c r="O8" i="3"/>
  <c r="O80" i="3"/>
  <c r="O35" i="3"/>
  <c r="O40" i="3"/>
  <c r="O102" i="3"/>
  <c r="O46" i="3"/>
  <c r="O107" i="3"/>
  <c r="O116" i="3"/>
  <c r="O114" i="3"/>
  <c r="O41" i="3"/>
  <c r="O67" i="3"/>
  <c r="O14" i="3"/>
  <c r="O87" i="3"/>
  <c r="O44" i="3"/>
  <c r="O117" i="3"/>
  <c r="O113" i="3"/>
  <c r="O54" i="3"/>
  <c r="O126" i="3"/>
  <c r="O49" i="3"/>
  <c r="O79" i="3"/>
  <c r="O25" i="3"/>
  <c r="O100" i="3"/>
  <c r="O52" i="3"/>
  <c r="O17" i="3"/>
  <c r="O123" i="3"/>
  <c r="O64" i="3"/>
  <c r="O12" i="3"/>
  <c r="O127" i="3"/>
  <c r="O57" i="3"/>
  <c r="O9" i="3"/>
  <c r="O86" i="3"/>
  <c r="O34" i="3"/>
  <c r="O111" i="3"/>
  <c r="O71" i="3"/>
  <c r="O37" i="3"/>
  <c r="O104" i="3"/>
  <c r="O39" i="3"/>
  <c r="O76" i="3"/>
  <c r="T135" i="11"/>
  <c r="Y247" i="11"/>
  <c r="H63" i="11"/>
  <c r="Y70" i="11" s="1"/>
  <c r="Y200" i="11" s="1"/>
  <c r="X57" i="11"/>
  <c r="X187" i="11" s="1"/>
  <c r="X53" i="11"/>
  <c r="X183" i="11" s="1"/>
  <c r="X49" i="11"/>
  <c r="X179" i="11" s="1"/>
  <c r="X58" i="11"/>
  <c r="X188" i="11" s="1"/>
  <c r="X54" i="11"/>
  <c r="X184" i="11" s="1"/>
  <c r="X50" i="11"/>
  <c r="X180" i="11" s="1"/>
  <c r="X46" i="11"/>
  <c r="X176" i="11" s="1"/>
  <c r="X42" i="11"/>
  <c r="X172" i="11" s="1"/>
  <c r="X38" i="11"/>
  <c r="X168" i="11" s="1"/>
  <c r="X60" i="11"/>
  <c r="X190" i="11" s="1"/>
  <c r="X39" i="11"/>
  <c r="X169" i="11" s="1"/>
  <c r="X48" i="11"/>
  <c r="X178" i="11" s="1"/>
  <c r="X44" i="11"/>
  <c r="X174" i="11" s="1"/>
  <c r="X37" i="11"/>
  <c r="X167" i="11" s="1"/>
  <c r="X52" i="11"/>
  <c r="X182" i="11" s="1"/>
  <c r="X56" i="11"/>
  <c r="X186" i="11" s="1"/>
  <c r="X40" i="11"/>
  <c r="X170" i="11" s="1"/>
  <c r="X61" i="11"/>
  <c r="X191" i="11" s="1"/>
  <c r="X51" i="11"/>
  <c r="X181" i="11" s="1"/>
  <c r="X43" i="11"/>
  <c r="X173" i="11" s="1"/>
  <c r="X55" i="11"/>
  <c r="X185" i="11" s="1"/>
  <c r="X47" i="11"/>
  <c r="X177" i="11" s="1"/>
  <c r="X45" i="11"/>
  <c r="X175" i="11" s="1"/>
  <c r="X41" i="11"/>
  <c r="X171" i="11" s="1"/>
  <c r="X36" i="11"/>
  <c r="X166" i="11" s="1"/>
  <c r="X34" i="11"/>
  <c r="X164" i="11" s="1"/>
  <c r="X30" i="11"/>
  <c r="X160" i="11" s="1"/>
  <c r="X26" i="11"/>
  <c r="X156" i="11" s="1"/>
  <c r="X22" i="11"/>
  <c r="X152" i="11" s="1"/>
  <c r="X18" i="11"/>
  <c r="X148" i="11" s="1"/>
  <c r="X23" i="11"/>
  <c r="X153" i="11" s="1"/>
  <c r="X15" i="11"/>
  <c r="X145" i="11" s="1"/>
  <c r="X28" i="11"/>
  <c r="X158" i="11" s="1"/>
  <c r="X21" i="11"/>
  <c r="X151" i="11" s="1"/>
  <c r="X12" i="11"/>
  <c r="X142" i="11" s="1"/>
  <c r="X8" i="11"/>
  <c r="X138" i="11" s="1"/>
  <c r="X35" i="11"/>
  <c r="X165" i="11" s="1"/>
  <c r="X19" i="11"/>
  <c r="X149" i="11" s="1"/>
  <c r="X33" i="11"/>
  <c r="X163" i="11" s="1"/>
  <c r="X16" i="11"/>
  <c r="X146" i="11" s="1"/>
  <c r="X13" i="11"/>
  <c r="X143" i="11" s="1"/>
  <c r="X9" i="11"/>
  <c r="X139" i="11" s="1"/>
  <c r="X24" i="11"/>
  <c r="X154" i="11" s="1"/>
  <c r="X27" i="11"/>
  <c r="X157" i="11" s="1"/>
  <c r="X14" i="11"/>
  <c r="X144" i="11" s="1"/>
  <c r="X29" i="11"/>
  <c r="X159" i="11" s="1"/>
  <c r="X7" i="11"/>
  <c r="X137" i="11" s="1"/>
  <c r="X10" i="11"/>
  <c r="X140" i="11" s="1"/>
  <c r="X32" i="11"/>
  <c r="X162" i="11" s="1"/>
  <c r="X31" i="11"/>
  <c r="X161" i="11" s="1"/>
  <c r="X25" i="11"/>
  <c r="X155" i="11" s="1"/>
  <c r="X20" i="11"/>
  <c r="X150" i="11" s="1"/>
  <c r="X11" i="11"/>
  <c r="X141" i="11" s="1"/>
  <c r="I33" i="11"/>
  <c r="H64" i="11"/>
  <c r="V102" i="11"/>
  <c r="V232" i="11" s="1"/>
  <c r="V103" i="11"/>
  <c r="V233" i="11" s="1"/>
  <c r="V101" i="11"/>
  <c r="V231" i="11" s="1"/>
  <c r="V97" i="11"/>
  <c r="V227" i="11" s="1"/>
  <c r="V93" i="11"/>
  <c r="V223" i="11" s="1"/>
  <c r="V87" i="11"/>
  <c r="V217" i="11" s="1"/>
  <c r="V83" i="11"/>
  <c r="V213" i="11" s="1"/>
  <c r="V98" i="11"/>
  <c r="V228" i="11" s="1"/>
  <c r="V94" i="11"/>
  <c r="V224" i="11" s="1"/>
  <c r="V88" i="11"/>
  <c r="V218" i="11" s="1"/>
  <c r="V84" i="11"/>
  <c r="V214" i="11" s="1"/>
  <c r="V100" i="11"/>
  <c r="V230" i="11" s="1"/>
  <c r="V96" i="11"/>
  <c r="V226" i="11" s="1"/>
  <c r="V92" i="11"/>
  <c r="V222" i="11" s="1"/>
  <c r="V86" i="11"/>
  <c r="V216" i="11" s="1"/>
  <c r="V82" i="11"/>
  <c r="V212" i="11" s="1"/>
  <c r="V95" i="11"/>
  <c r="V225" i="11" s="1"/>
  <c r="V99" i="11"/>
  <c r="V229" i="11" s="1"/>
  <c r="V85" i="11"/>
  <c r="V215" i="11" s="1"/>
  <c r="V90" i="11"/>
  <c r="V220" i="11" s="1"/>
  <c r="S57" i="11"/>
  <c r="S187" i="11" s="1"/>
  <c r="S53" i="11"/>
  <c r="S183" i="11" s="1"/>
  <c r="S49" i="11"/>
  <c r="S179" i="11" s="1"/>
  <c r="S45" i="11"/>
  <c r="S175" i="11" s="1"/>
  <c r="S41" i="11"/>
  <c r="S171" i="11" s="1"/>
  <c r="S37" i="11"/>
  <c r="S167" i="11" s="1"/>
  <c r="S47" i="11"/>
  <c r="S177" i="11" s="1"/>
  <c r="S38" i="11"/>
  <c r="S168" i="11" s="1"/>
  <c r="S51" i="11"/>
  <c r="S181" i="11" s="1"/>
  <c r="S36" i="11"/>
  <c r="S166" i="11" s="1"/>
  <c r="S55" i="11"/>
  <c r="S185" i="11" s="1"/>
  <c r="S43" i="11"/>
  <c r="S173" i="11" s="1"/>
  <c r="S60" i="11"/>
  <c r="S190" i="11" s="1"/>
  <c r="S48" i="11"/>
  <c r="S178" i="11" s="1"/>
  <c r="S56" i="11"/>
  <c r="S186" i="11" s="1"/>
  <c r="S54" i="11"/>
  <c r="S184" i="11" s="1"/>
  <c r="S42" i="11"/>
  <c r="S172" i="11" s="1"/>
  <c r="S61" i="11"/>
  <c r="S191" i="11" s="1"/>
  <c r="S44" i="11"/>
  <c r="S174" i="11" s="1"/>
  <c r="S39" i="11"/>
  <c r="S169" i="11" s="1"/>
  <c r="S46" i="11"/>
  <c r="S176" i="11" s="1"/>
  <c r="S52" i="11"/>
  <c r="S182" i="11" s="1"/>
  <c r="S58" i="11"/>
  <c r="S188" i="11" s="1"/>
  <c r="S50" i="11"/>
  <c r="S180" i="11" s="1"/>
  <c r="S40" i="11"/>
  <c r="S170" i="11" s="1"/>
  <c r="U58" i="11"/>
  <c r="U188" i="11" s="1"/>
  <c r="U54" i="11"/>
  <c r="U184" i="11" s="1"/>
  <c r="U50" i="11"/>
  <c r="U180" i="11" s="1"/>
  <c r="U46" i="11"/>
  <c r="U176" i="11" s="1"/>
  <c r="U42" i="11"/>
  <c r="U172" i="11" s="1"/>
  <c r="U38" i="11"/>
  <c r="U168" i="11" s="1"/>
  <c r="U53" i="11"/>
  <c r="U183" i="11" s="1"/>
  <c r="U51" i="11"/>
  <c r="U181" i="11" s="1"/>
  <c r="U43" i="11"/>
  <c r="U173" i="11" s="1"/>
  <c r="U36" i="11"/>
  <c r="U166" i="11" s="1"/>
  <c r="U57" i="11"/>
  <c r="U187" i="11" s="1"/>
  <c r="U55" i="11"/>
  <c r="U185" i="11" s="1"/>
  <c r="U41" i="11"/>
  <c r="U171" i="11" s="1"/>
  <c r="U60" i="11"/>
  <c r="U190" i="11" s="1"/>
  <c r="U39" i="11"/>
  <c r="U169" i="11" s="1"/>
  <c r="U37" i="11"/>
  <c r="U167" i="11" s="1"/>
  <c r="U48" i="11"/>
  <c r="U178" i="11" s="1"/>
  <c r="U52" i="11"/>
  <c r="U182" i="11" s="1"/>
  <c r="U61" i="11"/>
  <c r="U191" i="11" s="1"/>
  <c r="U40" i="11"/>
  <c r="U170" i="11" s="1"/>
  <c r="U49" i="11"/>
  <c r="U179" i="11" s="1"/>
  <c r="U47" i="11"/>
  <c r="U177" i="11" s="1"/>
  <c r="U45" i="11"/>
  <c r="U175" i="11" s="1"/>
  <c r="U56" i="11"/>
  <c r="U186" i="11" s="1"/>
  <c r="U44" i="11"/>
  <c r="U174" i="11" s="1"/>
  <c r="X79" i="11"/>
  <c r="X209" i="11" s="1"/>
  <c r="X75" i="11"/>
  <c r="X205" i="11" s="1"/>
  <c r="X71" i="11"/>
  <c r="X201" i="11" s="1"/>
  <c r="X66" i="11"/>
  <c r="X196" i="11" s="1"/>
  <c r="X62" i="11"/>
  <c r="X192" i="11" s="1"/>
  <c r="X81" i="11"/>
  <c r="X211" i="11" s="1"/>
  <c r="X76" i="11"/>
  <c r="X206" i="11" s="1"/>
  <c r="X72" i="11"/>
  <c r="X202" i="11" s="1"/>
  <c r="X67" i="11"/>
  <c r="X197" i="11" s="1"/>
  <c r="X63" i="11"/>
  <c r="X193" i="11" s="1"/>
  <c r="X78" i="11"/>
  <c r="X208" i="11" s="1"/>
  <c r="X74" i="11"/>
  <c r="X204" i="11" s="1"/>
  <c r="X70" i="11"/>
  <c r="X200" i="11" s="1"/>
  <c r="X64" i="11"/>
  <c r="X194" i="11" s="1"/>
  <c r="X73" i="11"/>
  <c r="X203" i="11" s="1"/>
  <c r="X65" i="11"/>
  <c r="X195" i="11" s="1"/>
  <c r="X68" i="11"/>
  <c r="X198" i="11" s="1"/>
  <c r="X77" i="11"/>
  <c r="X207" i="11" s="1"/>
  <c r="I34" i="11"/>
  <c r="H65" i="11"/>
  <c r="I31" i="11"/>
  <c r="H62" i="11"/>
  <c r="U34" i="11"/>
  <c r="U164" i="11" s="1"/>
  <c r="U30" i="11"/>
  <c r="U160" i="11" s="1"/>
  <c r="U26" i="11"/>
  <c r="U156" i="11" s="1"/>
  <c r="U22" i="11"/>
  <c r="U152" i="11" s="1"/>
  <c r="U18" i="11"/>
  <c r="U148" i="11" s="1"/>
  <c r="U27" i="11"/>
  <c r="U157" i="11" s="1"/>
  <c r="U20" i="11"/>
  <c r="U150" i="11" s="1"/>
  <c r="U14" i="11"/>
  <c r="U144" i="11" s="1"/>
  <c r="U10" i="11"/>
  <c r="U140" i="11" s="1"/>
  <c r="U25" i="11"/>
  <c r="U155" i="11" s="1"/>
  <c r="U32" i="11"/>
  <c r="U162" i="11" s="1"/>
  <c r="U23" i="11"/>
  <c r="U153" i="11" s="1"/>
  <c r="U11" i="11"/>
  <c r="U141" i="11" s="1"/>
  <c r="U7" i="11"/>
  <c r="U137" i="11" s="1"/>
  <c r="U15" i="11"/>
  <c r="U145" i="11" s="1"/>
  <c r="U21" i="11"/>
  <c r="U151" i="11" s="1"/>
  <c r="U31" i="11"/>
  <c r="U161" i="11" s="1"/>
  <c r="U24" i="11"/>
  <c r="U154" i="11" s="1"/>
  <c r="U16" i="11"/>
  <c r="U146" i="11" s="1"/>
  <c r="U13" i="11"/>
  <c r="U143" i="11" s="1"/>
  <c r="U9" i="11"/>
  <c r="U139" i="11" s="1"/>
  <c r="U29" i="11"/>
  <c r="U159" i="11" s="1"/>
  <c r="U19" i="11"/>
  <c r="U149" i="11" s="1"/>
  <c r="U33" i="11"/>
  <c r="U163" i="11" s="1"/>
  <c r="U28" i="11"/>
  <c r="U158" i="11" s="1"/>
  <c r="U35" i="11"/>
  <c r="U165" i="11" s="1"/>
  <c r="U8" i="11"/>
  <c r="U138" i="11" s="1"/>
  <c r="U12" i="11"/>
  <c r="U142" i="11" s="1"/>
  <c r="H57" i="11"/>
  <c r="I25" i="11"/>
  <c r="Z89" i="11" s="1"/>
  <c r="I21" i="11"/>
  <c r="Z17" i="11" s="1"/>
  <c r="H53" i="11"/>
  <c r="X121" i="11"/>
  <c r="X251" i="11" s="1"/>
  <c r="X116" i="11"/>
  <c r="X246" i="11" s="1"/>
  <c r="X112" i="11"/>
  <c r="X242" i="11" s="1"/>
  <c r="X107" i="11"/>
  <c r="X237" i="11" s="1"/>
  <c r="X122" i="11"/>
  <c r="X252" i="11" s="1"/>
  <c r="X118" i="11"/>
  <c r="X248" i="11" s="1"/>
  <c r="X113" i="11"/>
  <c r="X243" i="11" s="1"/>
  <c r="X108" i="11"/>
  <c r="X238" i="11" s="1"/>
  <c r="X123" i="11"/>
  <c r="X253" i="11" s="1"/>
  <c r="X119" i="11"/>
  <c r="X249" i="11" s="1"/>
  <c r="X114" i="11"/>
  <c r="X244" i="11" s="1"/>
  <c r="X110" i="11"/>
  <c r="X240" i="11" s="1"/>
  <c r="X105" i="11"/>
  <c r="X235" i="11" s="1"/>
  <c r="X124" i="11"/>
  <c r="X254" i="11" s="1"/>
  <c r="X111" i="11"/>
  <c r="X241" i="11" s="1"/>
  <c r="X120" i="11"/>
  <c r="X250" i="11" s="1"/>
  <c r="X106" i="11"/>
  <c r="X236" i="11" s="1"/>
  <c r="X104" i="11"/>
  <c r="X234" i="11" s="1"/>
  <c r="X115" i="11"/>
  <c r="X245" i="11" s="1"/>
  <c r="I20" i="11"/>
  <c r="H52" i="11"/>
  <c r="I24" i="11"/>
  <c r="Z80" i="11" s="1"/>
  <c r="H56" i="11"/>
  <c r="J32" i="11"/>
  <c r="I63" i="11"/>
  <c r="H58" i="11"/>
  <c r="I26" i="11"/>
  <c r="Z91" i="11" s="1"/>
  <c r="H59" i="11"/>
  <c r="I27" i="11"/>
  <c r="Z109" i="11" s="1"/>
  <c r="I28" i="11"/>
  <c r="Z117" i="11" s="1"/>
  <c r="Z247" i="11" s="1"/>
  <c r="H60" i="11"/>
  <c r="W35" i="11"/>
  <c r="W165" i="11" s="1"/>
  <c r="W31" i="11"/>
  <c r="W161" i="11" s="1"/>
  <c r="W27" i="11"/>
  <c r="W157" i="11" s="1"/>
  <c r="W23" i="11"/>
  <c r="W153" i="11" s="1"/>
  <c r="W19" i="11"/>
  <c r="W149" i="11" s="1"/>
  <c r="W14" i="11"/>
  <c r="W144" i="11" s="1"/>
  <c r="W32" i="11"/>
  <c r="W162" i="11" s="1"/>
  <c r="W25" i="11"/>
  <c r="W155" i="11" s="1"/>
  <c r="W11" i="11"/>
  <c r="W141" i="11" s="1"/>
  <c r="W7" i="11"/>
  <c r="W137" i="11" s="1"/>
  <c r="W30" i="11"/>
  <c r="W160" i="11" s="1"/>
  <c r="W15" i="11"/>
  <c r="W145" i="11" s="1"/>
  <c r="W28" i="11"/>
  <c r="W158" i="11" s="1"/>
  <c r="W21" i="11"/>
  <c r="W151" i="11" s="1"/>
  <c r="W12" i="11"/>
  <c r="W142" i="11" s="1"/>
  <c r="W8" i="11"/>
  <c r="W138" i="11" s="1"/>
  <c r="W26" i="11"/>
  <c r="W156" i="11" s="1"/>
  <c r="W29" i="11"/>
  <c r="W159" i="11" s="1"/>
  <c r="W20" i="11"/>
  <c r="W150" i="11" s="1"/>
  <c r="W10" i="11"/>
  <c r="W140" i="11" s="1"/>
  <c r="W34" i="11"/>
  <c r="W164" i="11" s="1"/>
  <c r="W24" i="11"/>
  <c r="W154" i="11" s="1"/>
  <c r="W33" i="11"/>
  <c r="W163" i="11" s="1"/>
  <c r="W13" i="11"/>
  <c r="W143" i="11" s="1"/>
  <c r="W18" i="11"/>
  <c r="W148" i="11" s="1"/>
  <c r="W9" i="11"/>
  <c r="W139" i="11" s="1"/>
  <c r="W22" i="11"/>
  <c r="W152" i="11" s="1"/>
  <c r="W16" i="11"/>
  <c r="W146" i="11" s="1"/>
  <c r="H61" i="11"/>
  <c r="I30" i="11"/>
  <c r="H55" i="11"/>
  <c r="I23" i="11"/>
  <c r="Z69" i="11" s="1"/>
  <c r="J22" i="11"/>
  <c r="AA59" i="11" s="1"/>
  <c r="I54" i="11"/>
  <c r="AB130" i="11"/>
  <c r="L5" i="11"/>
  <c r="F5" i="3"/>
  <c r="I5" i="3" s="1"/>
  <c r="L6" i="12" l="1"/>
  <c r="L7" i="12" s="1"/>
  <c r="L5" i="12" s="1"/>
  <c r="M5" i="11"/>
  <c r="M8" i="11" s="1"/>
  <c r="L8" i="11"/>
  <c r="X135" i="11"/>
  <c r="Z6" i="11"/>
  <c r="I35" i="11"/>
  <c r="Y79" i="11"/>
  <c r="Y209" i="11" s="1"/>
  <c r="Y71" i="11"/>
  <c r="Y201" i="11" s="1"/>
  <c r="Y63" i="11"/>
  <c r="Y193" i="11" s="1"/>
  <c r="Y66" i="11"/>
  <c r="Y196" i="11" s="1"/>
  <c r="Y75" i="11"/>
  <c r="Y205" i="11" s="1"/>
  <c r="Y67" i="11"/>
  <c r="Y197" i="11" s="1"/>
  <c r="Y72" i="11"/>
  <c r="Y202" i="11" s="1"/>
  <c r="Y74" i="11"/>
  <c r="Y204" i="11" s="1"/>
  <c r="Y62" i="11"/>
  <c r="Y192" i="11" s="1"/>
  <c r="V135" i="11"/>
  <c r="S135" i="11"/>
  <c r="W135" i="11"/>
  <c r="U135" i="11"/>
  <c r="O81" i="3"/>
  <c r="Y221" i="11"/>
  <c r="Y219" i="11"/>
  <c r="Y189" i="11"/>
  <c r="Y199" i="11"/>
  <c r="Y210" i="11"/>
  <c r="Y239" i="11"/>
  <c r="Y147" i="11"/>
  <c r="Y68" i="11"/>
  <c r="Y198" i="11" s="1"/>
  <c r="Y77" i="11"/>
  <c r="Y207" i="11" s="1"/>
  <c r="Y76" i="11"/>
  <c r="Y206" i="11" s="1"/>
  <c r="Y64" i="11"/>
  <c r="Y194" i="11" s="1"/>
  <c r="Y78" i="11"/>
  <c r="Y208" i="11" s="1"/>
  <c r="Y73" i="11"/>
  <c r="Y203" i="11" s="1"/>
  <c r="Y81" i="11"/>
  <c r="Y211" i="11" s="1"/>
  <c r="Y136" i="11"/>
  <c r="Y65" i="11"/>
  <c r="Y195" i="11" s="1"/>
  <c r="J20" i="11"/>
  <c r="I52" i="11"/>
  <c r="I58" i="11"/>
  <c r="J26" i="11"/>
  <c r="AA91" i="11" s="1"/>
  <c r="J25" i="11"/>
  <c r="AA89" i="11" s="1"/>
  <c r="I57" i="11"/>
  <c r="Y30" i="11"/>
  <c r="Y160" i="11" s="1"/>
  <c r="Y22" i="11"/>
  <c r="Y152" i="11" s="1"/>
  <c r="Y15" i="11"/>
  <c r="Y145" i="11" s="1"/>
  <c r="Y33" i="11"/>
  <c r="Y163" i="11" s="1"/>
  <c r="Y25" i="11"/>
  <c r="Y155" i="11" s="1"/>
  <c r="Y12" i="11"/>
  <c r="Y142" i="11" s="1"/>
  <c r="Y28" i="11"/>
  <c r="Y158" i="11" s="1"/>
  <c r="Y20" i="11"/>
  <c r="Y150" i="11" s="1"/>
  <c r="Y9" i="11"/>
  <c r="Y139" i="11" s="1"/>
  <c r="Y31" i="11"/>
  <c r="Y161" i="11" s="1"/>
  <c r="Y23" i="11"/>
  <c r="Y153" i="11" s="1"/>
  <c r="Y14" i="11"/>
  <c r="Y144" i="11" s="1"/>
  <c r="Y34" i="11"/>
  <c r="Y164" i="11" s="1"/>
  <c r="Y26" i="11"/>
  <c r="Y156" i="11" s="1"/>
  <c r="Y18" i="11"/>
  <c r="Y148" i="11" s="1"/>
  <c r="Y11" i="11"/>
  <c r="Y141" i="11" s="1"/>
  <c r="Y29" i="11"/>
  <c r="Y159" i="11" s="1"/>
  <c r="Y21" i="11"/>
  <c r="Y151" i="11" s="1"/>
  <c r="Y8" i="11"/>
  <c r="Y138" i="11" s="1"/>
  <c r="Y16" i="11"/>
  <c r="Y146" i="11" s="1"/>
  <c r="Y7" i="11"/>
  <c r="Y137" i="11" s="1"/>
  <c r="Y27" i="11"/>
  <c r="Y157" i="11" s="1"/>
  <c r="Y32" i="11"/>
  <c r="Y162" i="11" s="1"/>
  <c r="Y13" i="11"/>
  <c r="Y143" i="11" s="1"/>
  <c r="Y19" i="11"/>
  <c r="Y149" i="11" s="1"/>
  <c r="Y35" i="11"/>
  <c r="Y165" i="11" s="1"/>
  <c r="Y10" i="11"/>
  <c r="Y140" i="11" s="1"/>
  <c r="Y24" i="11"/>
  <c r="Y154" i="11" s="1"/>
  <c r="Y51" i="11"/>
  <c r="Y181" i="11" s="1"/>
  <c r="Y38" i="11"/>
  <c r="Y168" i="11" s="1"/>
  <c r="Y46" i="11"/>
  <c r="Y176" i="11" s="1"/>
  <c r="Y56" i="11"/>
  <c r="Y186" i="11" s="1"/>
  <c r="Y43" i="11"/>
  <c r="Y173" i="11" s="1"/>
  <c r="Y61" i="11"/>
  <c r="Y191" i="11" s="1"/>
  <c r="Y53" i="11"/>
  <c r="Y183" i="11" s="1"/>
  <c r="Y40" i="11"/>
  <c r="Y170" i="11" s="1"/>
  <c r="Y48" i="11"/>
  <c r="Y178" i="11" s="1"/>
  <c r="Y36" i="11"/>
  <c r="Y166" i="11" s="1"/>
  <c r="Y58" i="11"/>
  <c r="Y188" i="11" s="1"/>
  <c r="Y45" i="11"/>
  <c r="Y175" i="11" s="1"/>
  <c r="Y55" i="11"/>
  <c r="Y185" i="11" s="1"/>
  <c r="Y42" i="11"/>
  <c r="Y172" i="11" s="1"/>
  <c r="Y50" i="11"/>
  <c r="Y180" i="11" s="1"/>
  <c r="Y52" i="11"/>
  <c r="Y182" i="11" s="1"/>
  <c r="Y39" i="11"/>
  <c r="Y169" i="11" s="1"/>
  <c r="Y47" i="11"/>
  <c r="Y177" i="11" s="1"/>
  <c r="Y37" i="11"/>
  <c r="Y167" i="11" s="1"/>
  <c r="Y57" i="11"/>
  <c r="Y187" i="11" s="1"/>
  <c r="Y60" i="11"/>
  <c r="Y190" i="11" s="1"/>
  <c r="Y49" i="11"/>
  <c r="Y179" i="11" s="1"/>
  <c r="Y44" i="11"/>
  <c r="Y174" i="11" s="1"/>
  <c r="Y41" i="11"/>
  <c r="Y171" i="11" s="1"/>
  <c r="Y54" i="11"/>
  <c r="Y184" i="11" s="1"/>
  <c r="Y93" i="11"/>
  <c r="Y223" i="11" s="1"/>
  <c r="Y101" i="11"/>
  <c r="Y231" i="11" s="1"/>
  <c r="Y90" i="11"/>
  <c r="Y220" i="11" s="1"/>
  <c r="Y86" i="11"/>
  <c r="Y216" i="11" s="1"/>
  <c r="Y98" i="11"/>
  <c r="Y228" i="11" s="1"/>
  <c r="Y83" i="11"/>
  <c r="Y213" i="11" s="1"/>
  <c r="Y95" i="11"/>
  <c r="Y225" i="11" s="1"/>
  <c r="Y103" i="11"/>
  <c r="Y233" i="11" s="1"/>
  <c r="Y88" i="11"/>
  <c r="Y218" i="11" s="1"/>
  <c r="Y100" i="11"/>
  <c r="Y230" i="11" s="1"/>
  <c r="Y92" i="11"/>
  <c r="Y222" i="11" s="1"/>
  <c r="Y85" i="11"/>
  <c r="Y215" i="11" s="1"/>
  <c r="Y82" i="11"/>
  <c r="Y212" i="11" s="1"/>
  <c r="Y97" i="11"/>
  <c r="Y227" i="11" s="1"/>
  <c r="Y94" i="11"/>
  <c r="Y224" i="11" s="1"/>
  <c r="Y102" i="11"/>
  <c r="Y232" i="11" s="1"/>
  <c r="Y87" i="11"/>
  <c r="Y217" i="11" s="1"/>
  <c r="Y84" i="11"/>
  <c r="Y214" i="11" s="1"/>
  <c r="Y96" i="11"/>
  <c r="Y226" i="11" s="1"/>
  <c r="Y99" i="11"/>
  <c r="Y229" i="11" s="1"/>
  <c r="I64" i="11"/>
  <c r="J33" i="11"/>
  <c r="K22" i="11"/>
  <c r="AB59" i="11" s="1"/>
  <c r="J54" i="11"/>
  <c r="K32" i="11"/>
  <c r="J63" i="11"/>
  <c r="Y120" i="11"/>
  <c r="Y250" i="11" s="1"/>
  <c r="Y116" i="11"/>
  <c r="Y246" i="11" s="1"/>
  <c r="Y111" i="11"/>
  <c r="Y241" i="11" s="1"/>
  <c r="Y107" i="11"/>
  <c r="Y237" i="11" s="1"/>
  <c r="Y123" i="11"/>
  <c r="Y253" i="11" s="1"/>
  <c r="Y114" i="11"/>
  <c r="Y244" i="11" s="1"/>
  <c r="Y118" i="11"/>
  <c r="Y248" i="11" s="1"/>
  <c r="Y121" i="11"/>
  <c r="Y251" i="11" s="1"/>
  <c r="Y115" i="11"/>
  <c r="Y245" i="11" s="1"/>
  <c r="Y112" i="11"/>
  <c r="Y242" i="11" s="1"/>
  <c r="Y106" i="11"/>
  <c r="Y236" i="11" s="1"/>
  <c r="Y124" i="11"/>
  <c r="Y254" i="11" s="1"/>
  <c r="Y110" i="11"/>
  <c r="Y240" i="11" s="1"/>
  <c r="Y105" i="11"/>
  <c r="Y235" i="11" s="1"/>
  <c r="Y122" i="11"/>
  <c r="Y252" i="11" s="1"/>
  <c r="Y119" i="11"/>
  <c r="Y249" i="11" s="1"/>
  <c r="Y104" i="11"/>
  <c r="Y234" i="11" s="1"/>
  <c r="Y113" i="11"/>
  <c r="Y243" i="11" s="1"/>
  <c r="Y108" i="11"/>
  <c r="Y238" i="11" s="1"/>
  <c r="Z75" i="11"/>
  <c r="Z205" i="11" s="1"/>
  <c r="Z67" i="11"/>
  <c r="Z197" i="11" s="1"/>
  <c r="Z70" i="11"/>
  <c r="Z200" i="11" s="1"/>
  <c r="Z64" i="11"/>
  <c r="Z194" i="11" s="1"/>
  <c r="Z77" i="11"/>
  <c r="Z207" i="11" s="1"/>
  <c r="Z73" i="11"/>
  <c r="Z203" i="11" s="1"/>
  <c r="Z76" i="11"/>
  <c r="Z206" i="11" s="1"/>
  <c r="Z66" i="11"/>
  <c r="Z196" i="11" s="1"/>
  <c r="Z79" i="11"/>
  <c r="Z209" i="11" s="1"/>
  <c r="Z71" i="11"/>
  <c r="Z201" i="11" s="1"/>
  <c r="Z63" i="11"/>
  <c r="Z193" i="11" s="1"/>
  <c r="Z62" i="11"/>
  <c r="Z192" i="11" s="1"/>
  <c r="Z74" i="11"/>
  <c r="Z204" i="11" s="1"/>
  <c r="Z68" i="11"/>
  <c r="Z198" i="11" s="1"/>
  <c r="Z65" i="11"/>
  <c r="Z195" i="11" s="1"/>
  <c r="Z81" i="11"/>
  <c r="Z211" i="11" s="1"/>
  <c r="Z78" i="11"/>
  <c r="Z208" i="11" s="1"/>
  <c r="Z72" i="11"/>
  <c r="Z202" i="11" s="1"/>
  <c r="J31" i="11"/>
  <c r="I62" i="11"/>
  <c r="J23" i="11"/>
  <c r="AA69" i="11" s="1"/>
  <c r="I55" i="11"/>
  <c r="J34" i="11"/>
  <c r="I65" i="11"/>
  <c r="J28" i="11"/>
  <c r="AA117" i="11" s="1"/>
  <c r="I60" i="11"/>
  <c r="J24" i="11"/>
  <c r="AA80" i="11" s="1"/>
  <c r="I56" i="11"/>
  <c r="J30" i="11"/>
  <c r="I61" i="11"/>
  <c r="J27" i="11"/>
  <c r="AA109" i="11" s="1"/>
  <c r="I59" i="11"/>
  <c r="I53" i="11"/>
  <c r="J21" i="11"/>
  <c r="AA17" i="11" s="1"/>
  <c r="AC130" i="11"/>
  <c r="G5" i="3"/>
  <c r="J5" i="3" s="1"/>
  <c r="AA6" i="11" l="1"/>
  <c r="J35" i="11"/>
  <c r="E12" i="3"/>
  <c r="H12" i="3" s="1"/>
  <c r="AA247" i="11"/>
  <c r="Y135" i="11"/>
  <c r="Z189" i="11"/>
  <c r="Z219" i="11"/>
  <c r="Z199" i="11"/>
  <c r="Z147" i="11"/>
  <c r="Z210" i="11"/>
  <c r="Z221" i="11"/>
  <c r="Z239" i="11"/>
  <c r="Z136" i="11"/>
  <c r="J59" i="11"/>
  <c r="K27" i="11"/>
  <c r="AB109" i="11" s="1"/>
  <c r="K34" i="11"/>
  <c r="J65" i="11"/>
  <c r="Z120" i="11"/>
  <c r="Z250" i="11" s="1"/>
  <c r="Z111" i="11"/>
  <c r="Z241" i="11" s="1"/>
  <c r="Z105" i="11"/>
  <c r="Z235" i="11" s="1"/>
  <c r="Z123" i="11"/>
  <c r="Z253" i="11" s="1"/>
  <c r="Z114" i="11"/>
  <c r="Z244" i="11" s="1"/>
  <c r="Z118" i="11"/>
  <c r="Z248" i="11" s="1"/>
  <c r="Z116" i="11"/>
  <c r="Z246" i="11" s="1"/>
  <c r="Z107" i="11"/>
  <c r="Z237" i="11" s="1"/>
  <c r="Z121" i="11"/>
  <c r="Z251" i="11" s="1"/>
  <c r="Z112" i="11"/>
  <c r="Z242" i="11" s="1"/>
  <c r="Z124" i="11"/>
  <c r="Z254" i="11" s="1"/>
  <c r="Z119" i="11"/>
  <c r="Z249" i="11" s="1"/>
  <c r="Z115" i="11"/>
  <c r="Z245" i="11" s="1"/>
  <c r="Z110" i="11"/>
  <c r="Z240" i="11" s="1"/>
  <c r="Z106" i="11"/>
  <c r="Z236" i="11" s="1"/>
  <c r="Z122" i="11"/>
  <c r="Z252" i="11" s="1"/>
  <c r="Z104" i="11"/>
  <c r="Z234" i="11" s="1"/>
  <c r="Z113" i="11"/>
  <c r="Z243" i="11" s="1"/>
  <c r="Z108" i="11"/>
  <c r="Z238" i="11" s="1"/>
  <c r="J61" i="11"/>
  <c r="K30" i="11"/>
  <c r="K23" i="11"/>
  <c r="AB69" i="11" s="1"/>
  <c r="J55" i="11"/>
  <c r="AA78" i="11"/>
  <c r="AA70" i="11"/>
  <c r="AA73" i="11"/>
  <c r="AA67" i="11"/>
  <c r="AA76" i="11"/>
  <c r="AA64" i="11"/>
  <c r="AA77" i="11"/>
  <c r="AA71" i="11"/>
  <c r="AA62" i="11"/>
  <c r="AA74" i="11"/>
  <c r="AA66" i="11"/>
  <c r="AA79" i="11"/>
  <c r="AA63" i="11"/>
  <c r="AA81" i="11"/>
  <c r="AA65" i="11"/>
  <c r="AA72" i="11"/>
  <c r="AA75" i="11"/>
  <c r="AA68" i="11"/>
  <c r="K25" i="11"/>
  <c r="AB89" i="11" s="1"/>
  <c r="J57" i="11"/>
  <c r="Z96" i="11"/>
  <c r="Z226" i="11" s="1"/>
  <c r="Z93" i="11"/>
  <c r="Z223" i="11" s="1"/>
  <c r="Z101" i="11"/>
  <c r="Z231" i="11" s="1"/>
  <c r="Z86" i="11"/>
  <c r="Z216" i="11" s="1"/>
  <c r="Z98" i="11"/>
  <c r="Z228" i="11" s="1"/>
  <c r="Z92" i="11"/>
  <c r="Z222" i="11" s="1"/>
  <c r="Z83" i="11"/>
  <c r="Z213" i="11" s="1"/>
  <c r="Z82" i="11"/>
  <c r="Z212" i="11" s="1"/>
  <c r="Z95" i="11"/>
  <c r="Z225" i="11" s="1"/>
  <c r="Z103" i="11"/>
  <c r="Z233" i="11" s="1"/>
  <c r="Z88" i="11"/>
  <c r="Z218" i="11" s="1"/>
  <c r="Z100" i="11"/>
  <c r="Z230" i="11" s="1"/>
  <c r="Z85" i="11"/>
  <c r="Z215" i="11" s="1"/>
  <c r="Z97" i="11"/>
  <c r="Z227" i="11" s="1"/>
  <c r="Z94" i="11"/>
  <c r="Z224" i="11" s="1"/>
  <c r="Z84" i="11"/>
  <c r="Z214" i="11" s="1"/>
  <c r="Z102" i="11"/>
  <c r="Z232" i="11" s="1"/>
  <c r="Z99" i="11"/>
  <c r="Z229" i="11" s="1"/>
  <c r="Z90" i="11"/>
  <c r="Z220" i="11" s="1"/>
  <c r="Z87" i="11"/>
  <c r="Z217" i="11" s="1"/>
  <c r="Z33" i="11"/>
  <c r="Z163" i="11" s="1"/>
  <c r="Z25" i="11"/>
  <c r="Z155" i="11" s="1"/>
  <c r="Z10" i="11"/>
  <c r="Z140" i="11" s="1"/>
  <c r="Z28" i="11"/>
  <c r="Z158" i="11" s="1"/>
  <c r="Z20" i="11"/>
  <c r="Z150" i="11" s="1"/>
  <c r="Z15" i="11"/>
  <c r="Z145" i="11" s="1"/>
  <c r="Z31" i="11"/>
  <c r="Z161" i="11" s="1"/>
  <c r="Z23" i="11"/>
  <c r="Z153" i="11" s="1"/>
  <c r="Z12" i="11"/>
  <c r="Z142" i="11" s="1"/>
  <c r="Z34" i="11"/>
  <c r="Z164" i="11" s="1"/>
  <c r="Z26" i="11"/>
  <c r="Z156" i="11" s="1"/>
  <c r="Z18" i="11"/>
  <c r="Z148" i="11" s="1"/>
  <c r="Z9" i="11"/>
  <c r="Z139" i="11" s="1"/>
  <c r="Z29" i="11"/>
  <c r="Z159" i="11" s="1"/>
  <c r="Z21" i="11"/>
  <c r="Z151" i="11" s="1"/>
  <c r="Z14" i="11"/>
  <c r="Z144" i="11" s="1"/>
  <c r="Z32" i="11"/>
  <c r="Z162" i="11" s="1"/>
  <c r="Z24" i="11"/>
  <c r="Z154" i="11" s="1"/>
  <c r="Z11" i="11"/>
  <c r="Z141" i="11" s="1"/>
  <c r="Z7" i="11"/>
  <c r="Z137" i="11" s="1"/>
  <c r="Z27" i="11"/>
  <c r="Z157" i="11" s="1"/>
  <c r="Z19" i="11"/>
  <c r="Z149" i="11" s="1"/>
  <c r="Z13" i="11"/>
  <c r="Z143" i="11" s="1"/>
  <c r="Z35" i="11"/>
  <c r="Z165" i="11" s="1"/>
  <c r="Z16" i="11"/>
  <c r="Z146" i="11" s="1"/>
  <c r="Z22" i="11"/>
  <c r="Z152" i="11" s="1"/>
  <c r="Z30" i="11"/>
  <c r="Z160" i="11" s="1"/>
  <c r="Z8" i="11"/>
  <c r="Z138" i="11" s="1"/>
  <c r="Z54" i="11"/>
  <c r="Z184" i="11" s="1"/>
  <c r="Z41" i="11"/>
  <c r="Z171" i="11" s="1"/>
  <c r="Z49" i="11"/>
  <c r="Z179" i="11" s="1"/>
  <c r="Z61" i="11"/>
  <c r="Z191" i="11" s="1"/>
  <c r="Z51" i="11"/>
  <c r="Z181" i="11" s="1"/>
  <c r="Z38" i="11"/>
  <c r="Z168" i="11" s="1"/>
  <c r="Z46" i="11"/>
  <c r="Z176" i="11" s="1"/>
  <c r="Z36" i="11"/>
  <c r="Z166" i="11" s="1"/>
  <c r="Z56" i="11"/>
  <c r="Z186" i="11" s="1"/>
  <c r="Z43" i="11"/>
  <c r="Z173" i="11" s="1"/>
  <c r="Z53" i="11"/>
  <c r="Z183" i="11" s="1"/>
  <c r="Z40" i="11"/>
  <c r="Z170" i="11" s="1"/>
  <c r="Z48" i="11"/>
  <c r="Z178" i="11" s="1"/>
  <c r="Z58" i="11"/>
  <c r="Z188" i="11" s="1"/>
  <c r="Z45" i="11"/>
  <c r="Z175" i="11" s="1"/>
  <c r="Z37" i="11"/>
  <c r="Z167" i="11" s="1"/>
  <c r="Z55" i="11"/>
  <c r="Z185" i="11" s="1"/>
  <c r="Z42" i="11"/>
  <c r="Z172" i="11" s="1"/>
  <c r="Z50" i="11"/>
  <c r="Z180" i="11" s="1"/>
  <c r="Z60" i="11"/>
  <c r="Z190" i="11" s="1"/>
  <c r="Z57" i="11"/>
  <c r="Z187" i="11" s="1"/>
  <c r="Z52" i="11"/>
  <c r="Z182" i="11" s="1"/>
  <c r="Z44" i="11"/>
  <c r="Z174" i="11" s="1"/>
  <c r="Z47" i="11"/>
  <c r="Z177" i="11" s="1"/>
  <c r="Z39" i="11"/>
  <c r="Z169" i="11" s="1"/>
  <c r="L32" i="11"/>
  <c r="K63" i="11"/>
  <c r="K26" i="11"/>
  <c r="AB91" i="11" s="1"/>
  <c r="J58" i="11"/>
  <c r="J56" i="11"/>
  <c r="K24" i="11"/>
  <c r="AB80" i="11" s="1"/>
  <c r="K31" i="11"/>
  <c r="J62" i="11"/>
  <c r="K21" i="11"/>
  <c r="AB17" i="11" s="1"/>
  <c r="J53" i="11"/>
  <c r="L22" i="11"/>
  <c r="M22" i="11" s="1"/>
  <c r="K54" i="11"/>
  <c r="K28" i="11"/>
  <c r="AB117" i="11" s="1"/>
  <c r="J60" i="11"/>
  <c r="K33" i="11"/>
  <c r="J64" i="11"/>
  <c r="K20" i="11"/>
  <c r="J52" i="11"/>
  <c r="J75" i="11" s="1"/>
  <c r="M54" i="11" l="1"/>
  <c r="AD59" i="11"/>
  <c r="L63" i="11"/>
  <c r="M32" i="11"/>
  <c r="M63" i="11" s="1"/>
  <c r="P12" i="3"/>
  <c r="AB6" i="11"/>
  <c r="K35" i="11"/>
  <c r="F12" i="3"/>
  <c r="I12" i="3" s="1"/>
  <c r="AB247" i="11"/>
  <c r="L54" i="11"/>
  <c r="AC59" i="11"/>
  <c r="K12" i="3"/>
  <c r="E107" i="3"/>
  <c r="H107" i="3" s="1"/>
  <c r="AA207" i="11"/>
  <c r="E20" i="3"/>
  <c r="H20" i="3" s="1"/>
  <c r="AA193" i="11"/>
  <c r="E102" i="3"/>
  <c r="H102" i="3" s="1"/>
  <c r="AA206" i="11"/>
  <c r="Z135" i="11"/>
  <c r="AA199" i="11"/>
  <c r="E11" i="3"/>
  <c r="H11" i="3" s="1"/>
  <c r="E41" i="3"/>
  <c r="H41" i="3" s="1"/>
  <c r="AA195" i="11"/>
  <c r="E120" i="3"/>
  <c r="H120" i="3" s="1"/>
  <c r="AA211" i="11"/>
  <c r="AA210" i="11"/>
  <c r="E14" i="3"/>
  <c r="H14" i="3" s="1"/>
  <c r="E114" i="3"/>
  <c r="H114" i="3" s="1"/>
  <c r="AA209" i="11"/>
  <c r="E46" i="3"/>
  <c r="H46" i="3" s="1"/>
  <c r="AA197" i="11"/>
  <c r="E42" i="3"/>
  <c r="H42" i="3" s="1"/>
  <c r="AA196" i="11"/>
  <c r="E88" i="3"/>
  <c r="H88" i="3" s="1"/>
  <c r="AA203" i="11"/>
  <c r="E10" i="3"/>
  <c r="H10" i="3" s="1"/>
  <c r="AA219" i="11"/>
  <c r="E64" i="3"/>
  <c r="H64" i="3" s="1"/>
  <c r="AA198" i="11"/>
  <c r="E93" i="3"/>
  <c r="H93" i="3" s="1"/>
  <c r="AA204" i="11"/>
  <c r="E77" i="3"/>
  <c r="H77" i="3" s="1"/>
  <c r="AA200" i="11"/>
  <c r="E7" i="3"/>
  <c r="H7" i="3" s="1"/>
  <c r="AA239" i="11"/>
  <c r="J76" i="11"/>
  <c r="E127" i="3" s="1"/>
  <c r="H127" i="3" s="1"/>
  <c r="K127" i="3" s="1"/>
  <c r="E126" i="3"/>
  <c r="J77" i="11"/>
  <c r="E128" i="3" s="1"/>
  <c r="H128" i="3" s="1"/>
  <c r="K128" i="3" s="1"/>
  <c r="J78" i="11"/>
  <c r="E129" i="3" s="1"/>
  <c r="H129" i="3" s="1"/>
  <c r="K129" i="3" s="1"/>
  <c r="E9" i="3"/>
  <c r="H9" i="3" s="1"/>
  <c r="AA147" i="11"/>
  <c r="E32" i="3"/>
  <c r="H32" i="3" s="1"/>
  <c r="AA194" i="11"/>
  <c r="E95" i="3"/>
  <c r="H95" i="3" s="1"/>
  <c r="AA205" i="11"/>
  <c r="E17" i="3"/>
  <c r="H17" i="3" s="1"/>
  <c r="AA192" i="11"/>
  <c r="E111" i="3"/>
  <c r="H111" i="3" s="1"/>
  <c r="AA208" i="11"/>
  <c r="E13" i="3"/>
  <c r="AA189" i="11"/>
  <c r="E85" i="3"/>
  <c r="H85" i="3" s="1"/>
  <c r="AA202" i="11"/>
  <c r="E80" i="3"/>
  <c r="H80" i="3" s="1"/>
  <c r="AA201" i="11"/>
  <c r="E8" i="3"/>
  <c r="H8" i="3" s="1"/>
  <c r="AA221" i="11"/>
  <c r="E6" i="3"/>
  <c r="H6" i="3" s="1"/>
  <c r="AA136" i="11"/>
  <c r="L24" i="11"/>
  <c r="M24" i="11" s="1"/>
  <c r="K56" i="11"/>
  <c r="L25" i="11"/>
  <c r="M25" i="11" s="1"/>
  <c r="K57" i="11"/>
  <c r="L28" i="11"/>
  <c r="M28" i="11" s="1"/>
  <c r="K60" i="11"/>
  <c r="L31" i="11"/>
  <c r="K62" i="11"/>
  <c r="AA123" i="11"/>
  <c r="AA114" i="11"/>
  <c r="AA108" i="11"/>
  <c r="AA118" i="11"/>
  <c r="AA105" i="11"/>
  <c r="AA121" i="11"/>
  <c r="AA112" i="11"/>
  <c r="AA124" i="11"/>
  <c r="AA116" i="11"/>
  <c r="AA107" i="11"/>
  <c r="AA119" i="11"/>
  <c r="AA110" i="11"/>
  <c r="AA122" i="11"/>
  <c r="AA113" i="11"/>
  <c r="AA104" i="11"/>
  <c r="AA115" i="11"/>
  <c r="AA106" i="11"/>
  <c r="AA111" i="11"/>
  <c r="AA120" i="11"/>
  <c r="L33" i="11"/>
  <c r="K64" i="11"/>
  <c r="L26" i="11"/>
  <c r="M26" i="11" s="1"/>
  <c r="K58" i="11"/>
  <c r="L34" i="11"/>
  <c r="K65" i="11"/>
  <c r="AA28" i="11"/>
  <c r="AA20" i="11"/>
  <c r="AA13" i="11"/>
  <c r="AA31" i="11"/>
  <c r="AA23" i="11"/>
  <c r="AA10" i="11"/>
  <c r="AA34" i="11"/>
  <c r="AA26" i="11"/>
  <c r="AA18" i="11"/>
  <c r="AA15" i="11"/>
  <c r="AA29" i="11"/>
  <c r="AA21" i="11"/>
  <c r="AA12" i="11"/>
  <c r="AA32" i="11"/>
  <c r="AA24" i="11"/>
  <c r="AA9" i="11"/>
  <c r="AA7" i="11"/>
  <c r="AA35" i="11"/>
  <c r="AA27" i="11"/>
  <c r="AA19" i="11"/>
  <c r="AA14" i="11"/>
  <c r="AA11" i="11"/>
  <c r="AA33" i="11"/>
  <c r="AA25" i="11"/>
  <c r="AA22" i="11"/>
  <c r="AA16" i="11"/>
  <c r="AA30" i="11"/>
  <c r="AA8" i="11"/>
  <c r="L23" i="11"/>
  <c r="M23" i="11" s="1"/>
  <c r="K55" i="11"/>
  <c r="K59" i="11"/>
  <c r="L27" i="11"/>
  <c r="M27" i="11" s="1"/>
  <c r="AA99" i="11"/>
  <c r="AA84" i="11"/>
  <c r="AA96" i="11"/>
  <c r="AA92" i="11"/>
  <c r="AA82" i="11"/>
  <c r="AA93" i="11"/>
  <c r="AA101" i="11"/>
  <c r="AA86" i="11"/>
  <c r="AA98" i="11"/>
  <c r="AA83" i="11"/>
  <c r="AA95" i="11"/>
  <c r="AA103" i="11"/>
  <c r="AA88" i="11"/>
  <c r="AA100" i="11"/>
  <c r="AA85" i="11"/>
  <c r="AA94" i="11"/>
  <c r="AA102" i="11"/>
  <c r="AA90" i="11"/>
  <c r="AA87" i="11"/>
  <c r="AA97" i="11"/>
  <c r="AA61" i="11"/>
  <c r="AA57" i="11"/>
  <c r="AA44" i="11"/>
  <c r="AA36" i="11"/>
  <c r="AA54" i="11"/>
  <c r="AA41" i="11"/>
  <c r="AA49" i="11"/>
  <c r="AA51" i="11"/>
  <c r="AA38" i="11"/>
  <c r="AA46" i="11"/>
  <c r="AA56" i="11"/>
  <c r="AA43" i="11"/>
  <c r="AA37" i="11"/>
  <c r="AA53" i="11"/>
  <c r="AA40" i="11"/>
  <c r="AA48" i="11"/>
  <c r="AA60" i="11"/>
  <c r="AA58" i="11"/>
  <c r="AA45" i="11"/>
  <c r="AA42" i="11"/>
  <c r="AA50" i="11"/>
  <c r="AA52" i="11"/>
  <c r="AA55" i="11"/>
  <c r="AA47" i="11"/>
  <c r="AA39" i="11"/>
  <c r="L20" i="11"/>
  <c r="K52" i="11"/>
  <c r="L21" i="11"/>
  <c r="M21" i="11" s="1"/>
  <c r="K53" i="11"/>
  <c r="L30" i="11"/>
  <c r="K61" i="11"/>
  <c r="M57" i="11" l="1"/>
  <c r="AD89" i="11"/>
  <c r="M53" i="11"/>
  <c r="AD17" i="11"/>
  <c r="M59" i="11"/>
  <c r="AD109" i="11"/>
  <c r="M56" i="11"/>
  <c r="AD80" i="11"/>
  <c r="M55" i="11"/>
  <c r="AD69" i="11"/>
  <c r="M58" i="11"/>
  <c r="AD91" i="11"/>
  <c r="M60" i="11"/>
  <c r="AD117" i="11"/>
  <c r="L64" i="11"/>
  <c r="M33" i="11"/>
  <c r="M64" i="11" s="1"/>
  <c r="L62" i="11"/>
  <c r="M31" i="11"/>
  <c r="M62" i="11" s="1"/>
  <c r="L61" i="11"/>
  <c r="AC7" i="11" s="1"/>
  <c r="M30" i="11"/>
  <c r="M61" i="11" s="1"/>
  <c r="L65" i="11"/>
  <c r="M34" i="11"/>
  <c r="M65" i="11" s="1"/>
  <c r="AC6" i="11"/>
  <c r="M20" i="11"/>
  <c r="K6" i="3"/>
  <c r="S12" i="3"/>
  <c r="V12" i="3" s="1"/>
  <c r="H126" i="3"/>
  <c r="P126" i="3" s="1"/>
  <c r="E130" i="3"/>
  <c r="K42" i="3"/>
  <c r="K10" i="3"/>
  <c r="K9" i="3"/>
  <c r="K7" i="3"/>
  <c r="H13" i="3"/>
  <c r="J79" i="11"/>
  <c r="L35" i="11"/>
  <c r="E124" i="3"/>
  <c r="H124" i="3" s="1"/>
  <c r="AA254" i="11"/>
  <c r="L55" i="11"/>
  <c r="AC69" i="11"/>
  <c r="L58" i="11"/>
  <c r="AC91" i="11"/>
  <c r="L60" i="11"/>
  <c r="AC117" i="11"/>
  <c r="L57" i="11"/>
  <c r="AC89" i="11"/>
  <c r="L59" i="11"/>
  <c r="AC109" i="11"/>
  <c r="L56" i="11"/>
  <c r="AC80" i="11"/>
  <c r="L53" i="11"/>
  <c r="AC17" i="11"/>
  <c r="L12" i="3"/>
  <c r="Q12" i="3"/>
  <c r="L52" i="11"/>
  <c r="L76" i="11" s="1"/>
  <c r="G127" i="3" s="1"/>
  <c r="J127" i="3" s="1"/>
  <c r="M127" i="3" s="1"/>
  <c r="P129" i="3"/>
  <c r="P128" i="3"/>
  <c r="P127" i="3"/>
  <c r="K80" i="3"/>
  <c r="P80" i="3"/>
  <c r="P9" i="3"/>
  <c r="K114" i="3"/>
  <c r="P114" i="3"/>
  <c r="K17" i="3"/>
  <c r="P17" i="3"/>
  <c r="K77" i="3"/>
  <c r="P77" i="3"/>
  <c r="K14" i="3"/>
  <c r="P14" i="3"/>
  <c r="K11" i="3"/>
  <c r="P11" i="3"/>
  <c r="K107" i="3"/>
  <c r="P107" i="3"/>
  <c r="K85" i="3"/>
  <c r="P85" i="3"/>
  <c r="K88" i="3"/>
  <c r="P88" i="3"/>
  <c r="P6" i="3"/>
  <c r="K95" i="3"/>
  <c r="P95" i="3"/>
  <c r="K93" i="3"/>
  <c r="P93" i="3"/>
  <c r="K32" i="3"/>
  <c r="P32" i="3"/>
  <c r="K64" i="3"/>
  <c r="P64" i="3"/>
  <c r="K120" i="3"/>
  <c r="P120" i="3"/>
  <c r="K102" i="3"/>
  <c r="P102" i="3"/>
  <c r="K8" i="3"/>
  <c r="P8" i="3"/>
  <c r="K46" i="3"/>
  <c r="P46" i="3"/>
  <c r="K111" i="3"/>
  <c r="P111" i="3"/>
  <c r="P7" i="3"/>
  <c r="K41" i="3"/>
  <c r="P41" i="3"/>
  <c r="K20" i="3"/>
  <c r="P20" i="3"/>
  <c r="E69" i="3"/>
  <c r="H69" i="3" s="1"/>
  <c r="AA177" i="11"/>
  <c r="E86" i="3"/>
  <c r="H86" i="3" s="1"/>
  <c r="AA227" i="11"/>
  <c r="E27" i="3"/>
  <c r="H27" i="3" s="1"/>
  <c r="AA140" i="11"/>
  <c r="E48" i="3"/>
  <c r="H48" i="3" s="1"/>
  <c r="AA217" i="11"/>
  <c r="E49" i="3"/>
  <c r="H49" i="3" s="1"/>
  <c r="AA144" i="11"/>
  <c r="F14" i="3"/>
  <c r="I14" i="3" s="1"/>
  <c r="AB210" i="11"/>
  <c r="E84" i="3"/>
  <c r="H84" i="3" s="1"/>
  <c r="AA182" i="11"/>
  <c r="E89" i="3"/>
  <c r="H89" i="3" s="1"/>
  <c r="AA183" i="11"/>
  <c r="E35" i="3"/>
  <c r="H35" i="3" s="1"/>
  <c r="AA171" i="11"/>
  <c r="E55" i="3"/>
  <c r="H55" i="3" s="1"/>
  <c r="AA220" i="11"/>
  <c r="E18" i="3"/>
  <c r="H18" i="3" s="1"/>
  <c r="AA213" i="11"/>
  <c r="E24" i="3"/>
  <c r="H24" i="3" s="1"/>
  <c r="AA214" i="11"/>
  <c r="E25" i="3"/>
  <c r="H25" i="3" s="1"/>
  <c r="AA138" i="11"/>
  <c r="E62" i="3"/>
  <c r="H62" i="3" s="1"/>
  <c r="AA149" i="11"/>
  <c r="E66" i="3"/>
  <c r="H66" i="3" s="1"/>
  <c r="AA151" i="11"/>
  <c r="E103" i="3"/>
  <c r="H103" i="3" s="1"/>
  <c r="AA161" i="11"/>
  <c r="E122" i="3"/>
  <c r="H122" i="3" s="1"/>
  <c r="AA252" i="11"/>
  <c r="E28" i="3"/>
  <c r="H28" i="3" s="1"/>
  <c r="AA235" i="11"/>
  <c r="E78" i="3"/>
  <c r="H78" i="3" s="1"/>
  <c r="AA181" i="11"/>
  <c r="E56" i="3"/>
  <c r="H56" i="3" s="1"/>
  <c r="AA222" i="11"/>
  <c r="E34" i="3"/>
  <c r="H34" i="3" s="1"/>
  <c r="AA141" i="11"/>
  <c r="E15" i="3"/>
  <c r="H15" i="3" s="1"/>
  <c r="AA234" i="11"/>
  <c r="E79" i="3"/>
  <c r="H79" i="3" s="1"/>
  <c r="AA225" i="11"/>
  <c r="E74" i="3"/>
  <c r="H74" i="3" s="1"/>
  <c r="AA180" i="11"/>
  <c r="E22" i="3"/>
  <c r="H22" i="3" s="1"/>
  <c r="AA167" i="11"/>
  <c r="E90" i="3"/>
  <c r="H90" i="3" s="1"/>
  <c r="AA184" i="11"/>
  <c r="E119" i="3"/>
  <c r="H119" i="3" s="1"/>
  <c r="AA232" i="11"/>
  <c r="E97" i="3"/>
  <c r="H97" i="3" s="1"/>
  <c r="AA228" i="11"/>
  <c r="E100" i="3"/>
  <c r="H100" i="3" s="1"/>
  <c r="AA229" i="11"/>
  <c r="E101" i="3"/>
  <c r="H101" i="3" s="1"/>
  <c r="AA160" i="11"/>
  <c r="E82" i="3"/>
  <c r="H82" i="3" s="1"/>
  <c r="AA157" i="11"/>
  <c r="E99" i="3"/>
  <c r="H99" i="3" s="1"/>
  <c r="AA159" i="11"/>
  <c r="E45" i="3"/>
  <c r="H45" i="3" s="1"/>
  <c r="AA143" i="11"/>
  <c r="E39" i="3"/>
  <c r="H39" i="3" s="1"/>
  <c r="AA240" i="11"/>
  <c r="E91" i="3"/>
  <c r="H91" i="3" s="1"/>
  <c r="AA248" i="11"/>
  <c r="F8" i="3"/>
  <c r="I8" i="3" s="1"/>
  <c r="AB221" i="11"/>
  <c r="F13" i="3"/>
  <c r="I13" i="3" s="1"/>
  <c r="AB189" i="11"/>
  <c r="E43" i="3"/>
  <c r="H43" i="3" s="1"/>
  <c r="AA142" i="11"/>
  <c r="E36" i="3"/>
  <c r="H36" i="3" s="1"/>
  <c r="AA172" i="11"/>
  <c r="E44" i="3"/>
  <c r="H44" i="3" s="1"/>
  <c r="AA173" i="11"/>
  <c r="E21" i="3"/>
  <c r="H21" i="3" s="1"/>
  <c r="AA166" i="11"/>
  <c r="E63" i="3"/>
  <c r="H63" i="3" s="1"/>
  <c r="AA224" i="11"/>
  <c r="E40" i="3"/>
  <c r="H40" i="3" s="1"/>
  <c r="AA216" i="11"/>
  <c r="E54" i="3"/>
  <c r="H54" i="3" s="1"/>
  <c r="AA146" i="11"/>
  <c r="E113" i="3"/>
  <c r="H113" i="3" s="1"/>
  <c r="AA165" i="11"/>
  <c r="E51" i="3"/>
  <c r="H51" i="3" s="1"/>
  <c r="AA145" i="11"/>
  <c r="E65" i="3"/>
  <c r="H65" i="3" s="1"/>
  <c r="AA150" i="11"/>
  <c r="E96" i="3"/>
  <c r="H96" i="3" s="1"/>
  <c r="AA250" i="11"/>
  <c r="E92" i="3"/>
  <c r="H92" i="3" s="1"/>
  <c r="AA249" i="11"/>
  <c r="E38" i="3"/>
  <c r="H38" i="3" s="1"/>
  <c r="AA238" i="11"/>
  <c r="AB239" i="11"/>
  <c r="F7" i="3"/>
  <c r="I7" i="3" s="1"/>
  <c r="F10" i="3"/>
  <c r="I10" i="3" s="1"/>
  <c r="AB219" i="11"/>
  <c r="E104" i="3"/>
  <c r="H104" i="3" s="1"/>
  <c r="AA162" i="11"/>
  <c r="E73" i="3"/>
  <c r="H73" i="3" s="1"/>
  <c r="AA179" i="11"/>
  <c r="E117" i="3"/>
  <c r="H117" i="3" s="1"/>
  <c r="AA251" i="11"/>
  <c r="K75" i="11"/>
  <c r="K76" i="11"/>
  <c r="F127" i="3" s="1"/>
  <c r="I127" i="3" s="1"/>
  <c r="L127" i="3" s="1"/>
  <c r="K77" i="11"/>
  <c r="F128" i="3" s="1"/>
  <c r="I128" i="3" s="1"/>
  <c r="L128" i="3" s="1"/>
  <c r="K78" i="11"/>
  <c r="F129" i="3" s="1"/>
  <c r="I129" i="3" s="1"/>
  <c r="L129" i="3" s="1"/>
  <c r="E53" i="3"/>
  <c r="H53" i="3" s="1"/>
  <c r="AA175" i="11"/>
  <c r="E108" i="3"/>
  <c r="H108" i="3" s="1"/>
  <c r="AA186" i="11"/>
  <c r="E47" i="3"/>
  <c r="H47" i="3" s="1"/>
  <c r="AA174" i="11"/>
  <c r="E30" i="3"/>
  <c r="H30" i="3" s="1"/>
  <c r="AA215" i="11"/>
  <c r="E112" i="3"/>
  <c r="H112" i="3" s="1"/>
  <c r="AA231" i="11"/>
  <c r="E67" i="3"/>
  <c r="H67" i="3" s="1"/>
  <c r="AA152" i="11"/>
  <c r="E19" i="3"/>
  <c r="H19" i="3" s="1"/>
  <c r="AA137" i="11"/>
  <c r="E57" i="3"/>
  <c r="H57" i="3" s="1"/>
  <c r="AA148" i="11"/>
  <c r="E94" i="3"/>
  <c r="H94" i="3" s="1"/>
  <c r="AA158" i="11"/>
  <c r="E50" i="3"/>
  <c r="H50" i="3" s="1"/>
  <c r="AA241" i="11"/>
  <c r="E37" i="3"/>
  <c r="H37" i="3" s="1"/>
  <c r="AA237" i="11"/>
  <c r="E70" i="3"/>
  <c r="H70" i="3" s="1"/>
  <c r="AA244" i="11"/>
  <c r="F9" i="3"/>
  <c r="I9" i="3" s="1"/>
  <c r="AB147" i="11"/>
  <c r="E71" i="3"/>
  <c r="H71" i="3" s="1"/>
  <c r="AA178" i="11"/>
  <c r="E58" i="3"/>
  <c r="H58" i="3" s="1"/>
  <c r="AA242" i="11"/>
  <c r="E33" i="3"/>
  <c r="H33" i="3" s="1"/>
  <c r="AA170" i="11"/>
  <c r="E61" i="3"/>
  <c r="H61" i="3" s="1"/>
  <c r="AA243" i="11"/>
  <c r="E115" i="3"/>
  <c r="H115" i="3" s="1"/>
  <c r="AA188" i="11"/>
  <c r="E59" i="3"/>
  <c r="H59" i="3" s="1"/>
  <c r="AA176" i="11"/>
  <c r="E110" i="3"/>
  <c r="H110" i="3" s="1"/>
  <c r="AA187" i="11"/>
  <c r="E106" i="3"/>
  <c r="H106" i="3" s="1"/>
  <c r="AA230" i="11"/>
  <c r="E60" i="3"/>
  <c r="H60" i="3" s="1"/>
  <c r="AA223" i="11"/>
  <c r="E76" i="3"/>
  <c r="H76" i="3" s="1"/>
  <c r="AA155" i="11"/>
  <c r="E26" i="3"/>
  <c r="H26" i="3" s="1"/>
  <c r="AA139" i="11"/>
  <c r="E81" i="3"/>
  <c r="H81" i="3" s="1"/>
  <c r="AA156" i="11"/>
  <c r="E29" i="3"/>
  <c r="H29" i="3" s="1"/>
  <c r="AA236" i="11"/>
  <c r="E87" i="3"/>
  <c r="H87" i="3" s="1"/>
  <c r="AA246" i="11"/>
  <c r="E123" i="3"/>
  <c r="H123" i="3" s="1"/>
  <c r="AA253" i="11"/>
  <c r="F11" i="3"/>
  <c r="I11" i="3" s="1"/>
  <c r="AB199" i="11"/>
  <c r="E121" i="3"/>
  <c r="H121" i="3" s="1"/>
  <c r="AA233" i="11"/>
  <c r="E98" i="3"/>
  <c r="H98" i="3" s="1"/>
  <c r="AA185" i="11"/>
  <c r="E83" i="3"/>
  <c r="H83" i="3" s="1"/>
  <c r="AA226" i="11"/>
  <c r="E68" i="3"/>
  <c r="H68" i="3" s="1"/>
  <c r="AA153" i="11"/>
  <c r="E31" i="3"/>
  <c r="H31" i="3" s="1"/>
  <c r="AA169" i="11"/>
  <c r="E116" i="3"/>
  <c r="H116" i="3" s="1"/>
  <c r="AA190" i="11"/>
  <c r="E23" i="3"/>
  <c r="H23" i="3" s="1"/>
  <c r="AA168" i="11"/>
  <c r="E118" i="3"/>
  <c r="H118" i="3" s="1"/>
  <c r="AA191" i="11"/>
  <c r="E52" i="3"/>
  <c r="H52" i="3" s="1"/>
  <c r="AA218" i="11"/>
  <c r="E16" i="3"/>
  <c r="H16" i="3" s="1"/>
  <c r="AA212" i="11"/>
  <c r="E105" i="3"/>
  <c r="H105" i="3" s="1"/>
  <c r="AA163" i="11"/>
  <c r="E75" i="3"/>
  <c r="H75" i="3" s="1"/>
  <c r="AA154" i="11"/>
  <c r="E109" i="3"/>
  <c r="H109" i="3" s="1"/>
  <c r="AA164" i="11"/>
  <c r="E72" i="3"/>
  <c r="H72" i="3" s="1"/>
  <c r="AA245" i="11"/>
  <c r="F6" i="3"/>
  <c r="I6" i="3" s="1"/>
  <c r="AB136" i="11"/>
  <c r="AB35" i="11"/>
  <c r="AD7" i="11" l="1"/>
  <c r="AD31" i="11"/>
  <c r="AD27" i="11"/>
  <c r="AD19" i="11"/>
  <c r="AD14" i="11"/>
  <c r="AD35" i="11"/>
  <c r="AD26" i="11"/>
  <c r="AD18" i="11"/>
  <c r="AD15" i="11"/>
  <c r="AD20" i="11"/>
  <c r="AD34" i="11"/>
  <c r="AD25" i="11"/>
  <c r="AD8" i="11"/>
  <c r="AD16" i="11"/>
  <c r="AD28" i="11"/>
  <c r="AD33" i="11"/>
  <c r="AD24" i="11"/>
  <c r="AD9" i="11"/>
  <c r="AD12" i="11"/>
  <c r="AD13" i="11"/>
  <c r="AD32" i="11"/>
  <c r="AD23" i="11"/>
  <c r="AD10" i="11"/>
  <c r="AD21" i="11"/>
  <c r="AD30" i="11"/>
  <c r="AD22" i="11"/>
  <c r="AD11" i="11"/>
  <c r="AD29" i="11"/>
  <c r="L77" i="11"/>
  <c r="G128" i="3" s="1"/>
  <c r="J128" i="3" s="1"/>
  <c r="M128" i="3" s="1"/>
  <c r="M52" i="11"/>
  <c r="M35" i="11"/>
  <c r="AD6" i="11"/>
  <c r="S7" i="3"/>
  <c r="V7" i="3" s="1"/>
  <c r="S41" i="3"/>
  <c r="V41" i="3" s="1"/>
  <c r="S85" i="3"/>
  <c r="V85" i="3" s="1"/>
  <c r="S77" i="3"/>
  <c r="V77" i="3" s="1"/>
  <c r="S102" i="3"/>
  <c r="V102" i="3" s="1"/>
  <c r="S93" i="3"/>
  <c r="V93" i="3" s="1"/>
  <c r="S107" i="3"/>
  <c r="S17" i="3"/>
  <c r="V17" i="3" s="1"/>
  <c r="S111" i="3"/>
  <c r="V111" i="3" s="1"/>
  <c r="S120" i="3"/>
  <c r="V120" i="3" s="1"/>
  <c r="S95" i="3"/>
  <c r="V95" i="3" s="1"/>
  <c r="K126" i="3"/>
  <c r="K130" i="3" s="1"/>
  <c r="H130" i="3"/>
  <c r="L13" i="3"/>
  <c r="S11" i="3"/>
  <c r="V11" i="3" s="1"/>
  <c r="S114" i="3"/>
  <c r="V114" i="3" s="1"/>
  <c r="AC136" i="11"/>
  <c r="S46" i="3"/>
  <c r="V46" i="3" s="1"/>
  <c r="S64" i="3"/>
  <c r="L10" i="3"/>
  <c r="S20" i="3"/>
  <c r="S88" i="3"/>
  <c r="V88" i="3" s="1"/>
  <c r="S14" i="3"/>
  <c r="V14" i="3" s="1"/>
  <c r="S9" i="3"/>
  <c r="V9" i="3" s="1"/>
  <c r="Q7" i="3"/>
  <c r="AA135" i="11"/>
  <c r="S8" i="3"/>
  <c r="V8" i="3" s="1"/>
  <c r="S32" i="3"/>
  <c r="V32" i="3" s="1"/>
  <c r="S80" i="3"/>
  <c r="V80" i="3" s="1"/>
  <c r="T12" i="3"/>
  <c r="P130" i="3"/>
  <c r="K59" i="3"/>
  <c r="K94" i="3"/>
  <c r="K53" i="3"/>
  <c r="K15" i="3"/>
  <c r="K62" i="3"/>
  <c r="K23" i="3"/>
  <c r="K110" i="3"/>
  <c r="K33" i="3"/>
  <c r="K92" i="3"/>
  <c r="K45" i="3"/>
  <c r="K22" i="3"/>
  <c r="K122" i="3"/>
  <c r="K69" i="3"/>
  <c r="K16" i="3"/>
  <c r="K96" i="3"/>
  <c r="K99" i="3"/>
  <c r="K103" i="3"/>
  <c r="K89" i="3"/>
  <c r="K48" i="3"/>
  <c r="K19" i="3"/>
  <c r="K74" i="3"/>
  <c r="K31" i="3"/>
  <c r="K29" i="3"/>
  <c r="K115" i="3"/>
  <c r="K98" i="3"/>
  <c r="K65" i="3"/>
  <c r="K36" i="3"/>
  <c r="K82" i="3"/>
  <c r="K78" i="3"/>
  <c r="K18" i="3"/>
  <c r="K84" i="3"/>
  <c r="K27" i="3"/>
  <c r="S6" i="3"/>
  <c r="V6" i="3" s="1"/>
  <c r="K13" i="3"/>
  <c r="K108" i="3"/>
  <c r="K118" i="3"/>
  <c r="K68" i="3"/>
  <c r="K106" i="3"/>
  <c r="K61" i="3"/>
  <c r="K73" i="3"/>
  <c r="K90" i="3"/>
  <c r="K28" i="3"/>
  <c r="K55" i="3"/>
  <c r="K124" i="3"/>
  <c r="P124" i="3"/>
  <c r="L75" i="11"/>
  <c r="F126" i="3"/>
  <c r="K79" i="11"/>
  <c r="L78" i="11"/>
  <c r="G129" i="3" s="1"/>
  <c r="J129" i="3" s="1"/>
  <c r="W12" i="3"/>
  <c r="G12" i="3"/>
  <c r="J12" i="3" s="1"/>
  <c r="AC247" i="11"/>
  <c r="Q127" i="3"/>
  <c r="Q128" i="3"/>
  <c r="R128" i="3"/>
  <c r="Q129" i="3"/>
  <c r="R127" i="3"/>
  <c r="V107" i="3"/>
  <c r="V64" i="3"/>
  <c r="V20" i="3"/>
  <c r="K109" i="3"/>
  <c r="P109" i="3"/>
  <c r="K121" i="3"/>
  <c r="P121" i="3"/>
  <c r="K50" i="3"/>
  <c r="P50" i="3"/>
  <c r="K67" i="3"/>
  <c r="P67" i="3"/>
  <c r="K30" i="3"/>
  <c r="P30" i="3"/>
  <c r="K21" i="3"/>
  <c r="P21" i="3"/>
  <c r="K91" i="3"/>
  <c r="P91" i="3"/>
  <c r="K100" i="3"/>
  <c r="P100" i="3"/>
  <c r="K24" i="3"/>
  <c r="P24" i="3"/>
  <c r="K87" i="3"/>
  <c r="P87" i="3"/>
  <c r="K76" i="3"/>
  <c r="P76" i="3"/>
  <c r="L9" i="3"/>
  <c r="Q9" i="3"/>
  <c r="L14" i="3"/>
  <c r="Q14" i="3"/>
  <c r="K75" i="3"/>
  <c r="P75" i="3"/>
  <c r="K116" i="3"/>
  <c r="P116" i="3"/>
  <c r="K47" i="3"/>
  <c r="P47" i="3"/>
  <c r="K104" i="3"/>
  <c r="P104" i="3"/>
  <c r="K38" i="3"/>
  <c r="P38" i="3"/>
  <c r="K51" i="3"/>
  <c r="P51" i="3"/>
  <c r="K44" i="3"/>
  <c r="P44" i="3"/>
  <c r="K43" i="3"/>
  <c r="P43" i="3"/>
  <c r="K39" i="3"/>
  <c r="P39" i="3"/>
  <c r="K101" i="3"/>
  <c r="P101" i="3"/>
  <c r="K97" i="3"/>
  <c r="P97" i="3"/>
  <c r="K34" i="3"/>
  <c r="P34" i="3"/>
  <c r="K25" i="3"/>
  <c r="P25" i="3"/>
  <c r="K58" i="3"/>
  <c r="P58" i="3"/>
  <c r="K49" i="3"/>
  <c r="P49" i="3"/>
  <c r="L6" i="3"/>
  <c r="Q6" i="3"/>
  <c r="K105" i="3"/>
  <c r="P105" i="3"/>
  <c r="K52" i="3"/>
  <c r="P52" i="3"/>
  <c r="K83" i="3"/>
  <c r="P83" i="3"/>
  <c r="K70" i="3"/>
  <c r="P70" i="3"/>
  <c r="K57" i="3"/>
  <c r="P57" i="3"/>
  <c r="K113" i="3"/>
  <c r="P113" i="3"/>
  <c r="K40" i="3"/>
  <c r="P40" i="3"/>
  <c r="K119" i="3"/>
  <c r="P119" i="3"/>
  <c r="K79" i="3"/>
  <c r="P79" i="3"/>
  <c r="K56" i="3"/>
  <c r="P56" i="3"/>
  <c r="L11" i="3"/>
  <c r="Q11" i="3"/>
  <c r="K81" i="3"/>
  <c r="P81" i="3"/>
  <c r="L8" i="3"/>
  <c r="Q8" i="3"/>
  <c r="K86" i="3"/>
  <c r="P86" i="3"/>
  <c r="K72" i="3"/>
  <c r="P72" i="3"/>
  <c r="K37" i="3"/>
  <c r="P37" i="3"/>
  <c r="K112" i="3"/>
  <c r="P112" i="3"/>
  <c r="K117" i="3"/>
  <c r="P117" i="3"/>
  <c r="L7" i="3"/>
  <c r="K54" i="3"/>
  <c r="P54" i="3"/>
  <c r="K63" i="3"/>
  <c r="P63" i="3"/>
  <c r="K66" i="3"/>
  <c r="P66" i="3"/>
  <c r="K35" i="3"/>
  <c r="P35" i="3"/>
  <c r="K123" i="3"/>
  <c r="P123" i="3"/>
  <c r="K26" i="3"/>
  <c r="P26" i="3"/>
  <c r="K60" i="3"/>
  <c r="P60" i="3"/>
  <c r="K71" i="3"/>
  <c r="P71" i="3"/>
  <c r="F113" i="3"/>
  <c r="I113" i="3" s="1"/>
  <c r="AB165" i="11"/>
  <c r="AC189" i="11"/>
  <c r="G13" i="3"/>
  <c r="J13" i="3" s="1"/>
  <c r="G11" i="3"/>
  <c r="J11" i="3" s="1"/>
  <c r="AC199" i="11"/>
  <c r="G10" i="3"/>
  <c r="J10" i="3" s="1"/>
  <c r="AC219" i="11"/>
  <c r="AC147" i="11"/>
  <c r="G9" i="3"/>
  <c r="J9" i="3" s="1"/>
  <c r="AC221" i="11"/>
  <c r="G8" i="3"/>
  <c r="J8" i="3" s="1"/>
  <c r="AC239" i="11"/>
  <c r="G7" i="3"/>
  <c r="J7" i="3" s="1"/>
  <c r="G14" i="3"/>
  <c r="J14" i="3" s="1"/>
  <c r="AC210" i="11"/>
  <c r="G6" i="3"/>
  <c r="J6" i="3" s="1"/>
  <c r="M78" i="11" l="1"/>
  <c r="M77" i="11"/>
  <c r="M76" i="11"/>
  <c r="M75" i="11"/>
  <c r="S63" i="3"/>
  <c r="V63" i="3" s="1"/>
  <c r="M10" i="3"/>
  <c r="T7" i="3"/>
  <c r="W7" i="3" s="1"/>
  <c r="S72" i="3"/>
  <c r="V72" i="3" s="1"/>
  <c r="T11" i="3"/>
  <c r="S40" i="3"/>
  <c r="V40" i="3" s="1"/>
  <c r="S83" i="3"/>
  <c r="V83" i="3" s="1"/>
  <c r="S24" i="3"/>
  <c r="V24" i="3" s="1"/>
  <c r="S30" i="3"/>
  <c r="V30" i="3" s="1"/>
  <c r="S109" i="3"/>
  <c r="V109" i="3" s="1"/>
  <c r="S38" i="3"/>
  <c r="V38" i="3" s="1"/>
  <c r="S87" i="3"/>
  <c r="V87" i="3" s="1"/>
  <c r="S43" i="3"/>
  <c r="V43" i="3" s="1"/>
  <c r="S104" i="3"/>
  <c r="T14" i="3"/>
  <c r="W14" i="3" s="1"/>
  <c r="R7" i="3"/>
  <c r="S71" i="3"/>
  <c r="V71" i="3" s="1"/>
  <c r="S35" i="3"/>
  <c r="V35" i="3" s="1"/>
  <c r="S49" i="3"/>
  <c r="V49" i="3" s="1"/>
  <c r="S97" i="3"/>
  <c r="V97" i="3" s="1"/>
  <c r="S44" i="3"/>
  <c r="V44" i="3" s="1"/>
  <c r="S47" i="3"/>
  <c r="V47" i="3" s="1"/>
  <c r="T9" i="3"/>
  <c r="W9" i="3" s="1"/>
  <c r="S124" i="3"/>
  <c r="V124" i="3" s="1"/>
  <c r="S75" i="3"/>
  <c r="V75" i="3" s="1"/>
  <c r="S54" i="3"/>
  <c r="V54" i="3" s="1"/>
  <c r="S117" i="3"/>
  <c r="V117" i="3" s="1"/>
  <c r="S56" i="3"/>
  <c r="V56" i="3" s="1"/>
  <c r="S52" i="3"/>
  <c r="V52" i="3" s="1"/>
  <c r="S100" i="3"/>
  <c r="V100" i="3" s="1"/>
  <c r="S67" i="3"/>
  <c r="V67" i="3" s="1"/>
  <c r="S26" i="3"/>
  <c r="V26" i="3" s="1"/>
  <c r="S39" i="3"/>
  <c r="V39" i="3" s="1"/>
  <c r="S123" i="3"/>
  <c r="V123" i="3" s="1"/>
  <c r="S34" i="3"/>
  <c r="V34" i="3" s="1"/>
  <c r="S86" i="3"/>
  <c r="V86" i="3" s="1"/>
  <c r="S113" i="3"/>
  <c r="V113" i="3" s="1"/>
  <c r="M13" i="3"/>
  <c r="S60" i="3"/>
  <c r="V60" i="3" s="1"/>
  <c r="S66" i="3"/>
  <c r="S58" i="3"/>
  <c r="V58" i="3" s="1"/>
  <c r="S101" i="3"/>
  <c r="V101" i="3" s="1"/>
  <c r="S51" i="3"/>
  <c r="S116" i="3"/>
  <c r="V116" i="3" s="1"/>
  <c r="S76" i="3"/>
  <c r="V76" i="3" s="1"/>
  <c r="S112" i="3"/>
  <c r="V112" i="3" s="1"/>
  <c r="T8" i="3"/>
  <c r="S79" i="3"/>
  <c r="V79" i="3" s="1"/>
  <c r="S57" i="3"/>
  <c r="V57" i="3" s="1"/>
  <c r="S105" i="3"/>
  <c r="V105" i="3" s="1"/>
  <c r="S91" i="3"/>
  <c r="V91" i="3" s="1"/>
  <c r="S50" i="3"/>
  <c r="V50" i="3" s="1"/>
  <c r="R129" i="3"/>
  <c r="M129" i="3"/>
  <c r="S25" i="3"/>
  <c r="V25" i="3" s="1"/>
  <c r="S37" i="3"/>
  <c r="V37" i="3" s="1"/>
  <c r="S81" i="3"/>
  <c r="V81" i="3" s="1"/>
  <c r="S119" i="3"/>
  <c r="V119" i="3" s="1"/>
  <c r="S70" i="3"/>
  <c r="V70" i="3" s="1"/>
  <c r="S21" i="3"/>
  <c r="S121" i="3"/>
  <c r="V121" i="3" s="1"/>
  <c r="I126" i="3"/>
  <c r="F130" i="3"/>
  <c r="T6" i="3"/>
  <c r="W6" i="3" s="1"/>
  <c r="G126" i="3"/>
  <c r="L79" i="11"/>
  <c r="R12" i="3"/>
  <c r="M12" i="3"/>
  <c r="W11" i="3"/>
  <c r="V104" i="3"/>
  <c r="V66" i="3"/>
  <c r="V21" i="3"/>
  <c r="V51" i="3"/>
  <c r="W8" i="3"/>
  <c r="M11" i="3"/>
  <c r="R11" i="3"/>
  <c r="L113" i="3"/>
  <c r="Q113" i="3"/>
  <c r="M8" i="3"/>
  <c r="R8" i="3"/>
  <c r="M6" i="3"/>
  <c r="R6" i="3"/>
  <c r="M7" i="3"/>
  <c r="M14" i="3"/>
  <c r="R14" i="3"/>
  <c r="M9" i="3"/>
  <c r="R9" i="3"/>
  <c r="R5" i="9"/>
  <c r="D6" i="3" s="1"/>
  <c r="Q6" i="9"/>
  <c r="C7" i="3" s="1"/>
  <c r="R6" i="9"/>
  <c r="D7" i="3" s="1"/>
  <c r="S6" i="9"/>
  <c r="T6" i="9"/>
  <c r="U6" i="9"/>
  <c r="V6" i="9"/>
  <c r="W6" i="9"/>
  <c r="X6" i="9"/>
  <c r="Q7" i="9"/>
  <c r="C8" i="3" s="1"/>
  <c r="R7" i="9"/>
  <c r="D8" i="3" s="1"/>
  <c r="S7" i="9"/>
  <c r="T7" i="9"/>
  <c r="U7" i="9"/>
  <c r="V7" i="9"/>
  <c r="W7" i="9"/>
  <c r="X7" i="9"/>
  <c r="Q8" i="9"/>
  <c r="C9" i="3" s="1"/>
  <c r="R8" i="9"/>
  <c r="D9" i="3" s="1"/>
  <c r="S8" i="9"/>
  <c r="T8" i="9"/>
  <c r="U8" i="9"/>
  <c r="V8" i="9"/>
  <c r="W8" i="9"/>
  <c r="X8" i="9"/>
  <c r="Q9" i="9"/>
  <c r="C10" i="3" s="1"/>
  <c r="R9" i="9"/>
  <c r="D10" i="3" s="1"/>
  <c r="S9" i="9"/>
  <c r="T9" i="9"/>
  <c r="U9" i="9"/>
  <c r="V9" i="9"/>
  <c r="W9" i="9"/>
  <c r="X9" i="9"/>
  <c r="Q10" i="9"/>
  <c r="C11" i="3" s="1"/>
  <c r="R10" i="9"/>
  <c r="D11" i="3" s="1"/>
  <c r="S10" i="9"/>
  <c r="T10" i="9"/>
  <c r="U10" i="9"/>
  <c r="V10" i="9"/>
  <c r="W10" i="9"/>
  <c r="X10" i="9"/>
  <c r="Q11" i="9"/>
  <c r="C12" i="3" s="1"/>
  <c r="R11" i="9"/>
  <c r="D12" i="3" s="1"/>
  <c r="S11" i="9"/>
  <c r="T11" i="9"/>
  <c r="U11" i="9"/>
  <c r="V11" i="9"/>
  <c r="W11" i="9"/>
  <c r="X11" i="9"/>
  <c r="Q12" i="9"/>
  <c r="C13" i="3" s="1"/>
  <c r="R12" i="9"/>
  <c r="D13" i="3" s="1"/>
  <c r="S12" i="9"/>
  <c r="T12" i="9"/>
  <c r="U12" i="9"/>
  <c r="V12" i="9"/>
  <c r="W12" i="9"/>
  <c r="X12" i="9"/>
  <c r="Q13" i="9"/>
  <c r="C14" i="3" s="1"/>
  <c r="R13" i="9"/>
  <c r="D14" i="3" s="1"/>
  <c r="S13" i="9"/>
  <c r="T13" i="9"/>
  <c r="U13" i="9"/>
  <c r="V13" i="9"/>
  <c r="W13" i="9"/>
  <c r="X13" i="9"/>
  <c r="Q14" i="9"/>
  <c r="R14" i="9"/>
  <c r="S14" i="9"/>
  <c r="T14" i="9"/>
  <c r="U14" i="9"/>
  <c r="V14" i="9"/>
  <c r="W14" i="9"/>
  <c r="X14" i="9"/>
  <c r="Q15" i="9"/>
  <c r="R15" i="9"/>
  <c r="S15" i="9"/>
  <c r="T15" i="9"/>
  <c r="U15" i="9"/>
  <c r="V15" i="9"/>
  <c r="W15" i="9"/>
  <c r="X15" i="9"/>
  <c r="Q16" i="9"/>
  <c r="R16" i="9"/>
  <c r="S16" i="9"/>
  <c r="T16" i="9"/>
  <c r="U16" i="9"/>
  <c r="V16" i="9"/>
  <c r="W16" i="9"/>
  <c r="X16" i="9"/>
  <c r="Q17" i="9"/>
  <c r="R17" i="9"/>
  <c r="S17" i="9"/>
  <c r="T17" i="9"/>
  <c r="U17" i="9"/>
  <c r="V17" i="9"/>
  <c r="W17" i="9"/>
  <c r="X17" i="9"/>
  <c r="Q18" i="9"/>
  <c r="R18" i="9"/>
  <c r="S18" i="9"/>
  <c r="T18" i="9"/>
  <c r="U18" i="9"/>
  <c r="V18" i="9"/>
  <c r="W18" i="9"/>
  <c r="X18" i="9"/>
  <c r="Q19" i="9"/>
  <c r="R19" i="9"/>
  <c r="S19" i="9"/>
  <c r="T19" i="9"/>
  <c r="U19" i="9"/>
  <c r="V19" i="9"/>
  <c r="W19" i="9"/>
  <c r="X19" i="9"/>
  <c r="Q20" i="9"/>
  <c r="R20" i="9"/>
  <c r="S20" i="9"/>
  <c r="T20" i="9"/>
  <c r="U20" i="9"/>
  <c r="V20" i="9"/>
  <c r="W20" i="9"/>
  <c r="X20" i="9"/>
  <c r="Q21" i="9"/>
  <c r="R21" i="9"/>
  <c r="S21" i="9"/>
  <c r="T21" i="9"/>
  <c r="U21" i="9"/>
  <c r="V21" i="9"/>
  <c r="W21" i="9"/>
  <c r="X21" i="9"/>
  <c r="Q22" i="9"/>
  <c r="R22" i="9"/>
  <c r="S22" i="9"/>
  <c r="T22" i="9"/>
  <c r="U22" i="9"/>
  <c r="V22" i="9"/>
  <c r="W22" i="9"/>
  <c r="X22" i="9"/>
  <c r="Q23" i="9"/>
  <c r="R23" i="9"/>
  <c r="S23" i="9"/>
  <c r="T23" i="9"/>
  <c r="U23" i="9"/>
  <c r="V23" i="9"/>
  <c r="W23" i="9"/>
  <c r="X23" i="9"/>
  <c r="Q24" i="9"/>
  <c r="R24" i="9"/>
  <c r="S24" i="9"/>
  <c r="T24" i="9"/>
  <c r="U24" i="9"/>
  <c r="V24" i="9"/>
  <c r="W24" i="9"/>
  <c r="X24" i="9"/>
  <c r="Q25" i="9"/>
  <c r="R25" i="9"/>
  <c r="S25" i="9"/>
  <c r="T25" i="9"/>
  <c r="U25" i="9"/>
  <c r="V25" i="9"/>
  <c r="W25" i="9"/>
  <c r="X25" i="9"/>
  <c r="Q26" i="9"/>
  <c r="R26" i="9"/>
  <c r="S26" i="9"/>
  <c r="T26" i="9"/>
  <c r="U26" i="9"/>
  <c r="V26" i="9"/>
  <c r="W26" i="9"/>
  <c r="X26" i="9"/>
  <c r="Q27" i="9"/>
  <c r="R27" i="9"/>
  <c r="S27" i="9"/>
  <c r="T27" i="9"/>
  <c r="U27" i="9"/>
  <c r="V27" i="9"/>
  <c r="W27" i="9"/>
  <c r="X27" i="9"/>
  <c r="Q28" i="9"/>
  <c r="R28" i="9"/>
  <c r="S28" i="9"/>
  <c r="T28" i="9"/>
  <c r="U28" i="9"/>
  <c r="V28" i="9"/>
  <c r="W28" i="9"/>
  <c r="X28" i="9"/>
  <c r="Q29" i="9"/>
  <c r="R29" i="9"/>
  <c r="S29" i="9"/>
  <c r="T29" i="9"/>
  <c r="U29" i="9"/>
  <c r="V29" i="9"/>
  <c r="W29" i="9"/>
  <c r="X29" i="9"/>
  <c r="Q30" i="9"/>
  <c r="R30" i="9"/>
  <c r="S30" i="9"/>
  <c r="T30" i="9"/>
  <c r="U30" i="9"/>
  <c r="V30" i="9"/>
  <c r="W30" i="9"/>
  <c r="X30" i="9"/>
  <c r="Q31" i="9"/>
  <c r="R31" i="9"/>
  <c r="S31" i="9"/>
  <c r="T31" i="9"/>
  <c r="U31" i="9"/>
  <c r="V31" i="9"/>
  <c r="W31" i="9"/>
  <c r="X31" i="9"/>
  <c r="Q32" i="9"/>
  <c r="R32" i="9"/>
  <c r="S32" i="9"/>
  <c r="T32" i="9"/>
  <c r="U32" i="9"/>
  <c r="V32" i="9"/>
  <c r="W32" i="9"/>
  <c r="X32" i="9"/>
  <c r="Q33" i="9"/>
  <c r="R33" i="9"/>
  <c r="S33" i="9"/>
  <c r="T33" i="9"/>
  <c r="U33" i="9"/>
  <c r="V33" i="9"/>
  <c r="W33" i="9"/>
  <c r="X33" i="9"/>
  <c r="Q34" i="9"/>
  <c r="R34" i="9"/>
  <c r="S34" i="9"/>
  <c r="T34" i="9"/>
  <c r="U34" i="9"/>
  <c r="V34" i="9"/>
  <c r="W34" i="9"/>
  <c r="X34" i="9"/>
  <c r="Q35" i="9"/>
  <c r="R35" i="9"/>
  <c r="S35" i="9"/>
  <c r="T35" i="9"/>
  <c r="U35" i="9"/>
  <c r="V35" i="9"/>
  <c r="W35" i="9"/>
  <c r="X35" i="9"/>
  <c r="Q36" i="9"/>
  <c r="R36" i="9"/>
  <c r="S36" i="9"/>
  <c r="T36" i="9"/>
  <c r="U36" i="9"/>
  <c r="V36" i="9"/>
  <c r="W36" i="9"/>
  <c r="X36" i="9"/>
  <c r="Q37" i="9"/>
  <c r="R37" i="9"/>
  <c r="S37" i="9"/>
  <c r="T37" i="9"/>
  <c r="U37" i="9"/>
  <c r="V37" i="9"/>
  <c r="W37" i="9"/>
  <c r="X37" i="9"/>
  <c r="Q38" i="9"/>
  <c r="R38" i="9"/>
  <c r="S38" i="9"/>
  <c r="T38" i="9"/>
  <c r="U38" i="9"/>
  <c r="V38" i="9"/>
  <c r="W38" i="9"/>
  <c r="X38" i="9"/>
  <c r="Q39" i="9"/>
  <c r="R39" i="9"/>
  <c r="S39" i="9"/>
  <c r="T39" i="9"/>
  <c r="U39" i="9"/>
  <c r="V39" i="9"/>
  <c r="W39" i="9"/>
  <c r="X39" i="9"/>
  <c r="Q40" i="9"/>
  <c r="R40" i="9"/>
  <c r="S40" i="9"/>
  <c r="T40" i="9"/>
  <c r="U40" i="9"/>
  <c r="V40" i="9"/>
  <c r="W40" i="9"/>
  <c r="X40" i="9"/>
  <c r="Q41" i="9"/>
  <c r="R41" i="9"/>
  <c r="S41" i="9"/>
  <c r="T41" i="9"/>
  <c r="U41" i="9"/>
  <c r="V41" i="9"/>
  <c r="W41" i="9"/>
  <c r="X41" i="9"/>
  <c r="Q42" i="9"/>
  <c r="R42" i="9"/>
  <c r="S42" i="9"/>
  <c r="T42" i="9"/>
  <c r="U42" i="9"/>
  <c r="V42" i="9"/>
  <c r="W42" i="9"/>
  <c r="X42" i="9"/>
  <c r="Q43" i="9"/>
  <c r="R43" i="9"/>
  <c r="S43" i="9"/>
  <c r="T43" i="9"/>
  <c r="U43" i="9"/>
  <c r="V43" i="9"/>
  <c r="W43" i="9"/>
  <c r="X43" i="9"/>
  <c r="Q44" i="9"/>
  <c r="R44" i="9"/>
  <c r="S44" i="9"/>
  <c r="T44" i="9"/>
  <c r="U44" i="9"/>
  <c r="V44" i="9"/>
  <c r="W44" i="9"/>
  <c r="X44" i="9"/>
  <c r="Q45" i="9"/>
  <c r="R45" i="9"/>
  <c r="S45" i="9"/>
  <c r="T45" i="9"/>
  <c r="U45" i="9"/>
  <c r="V45" i="9"/>
  <c r="W45" i="9"/>
  <c r="X45" i="9"/>
  <c r="Q46" i="9"/>
  <c r="R46" i="9"/>
  <c r="S46" i="9"/>
  <c r="T46" i="9"/>
  <c r="U46" i="9"/>
  <c r="V46" i="9"/>
  <c r="W46" i="9"/>
  <c r="X46" i="9"/>
  <c r="Q47" i="9"/>
  <c r="R47" i="9"/>
  <c r="S47" i="9"/>
  <c r="T47" i="9"/>
  <c r="U47" i="9"/>
  <c r="V47" i="9"/>
  <c r="W47" i="9"/>
  <c r="X47" i="9"/>
  <c r="Q48" i="9"/>
  <c r="R48" i="9"/>
  <c r="S48" i="9"/>
  <c r="T48" i="9"/>
  <c r="U48" i="9"/>
  <c r="V48" i="9"/>
  <c r="W48" i="9"/>
  <c r="X48" i="9"/>
  <c r="Q49" i="9"/>
  <c r="R49" i="9"/>
  <c r="S49" i="9"/>
  <c r="T49" i="9"/>
  <c r="U49" i="9"/>
  <c r="V49" i="9"/>
  <c r="W49" i="9"/>
  <c r="X49" i="9"/>
  <c r="Q50" i="9"/>
  <c r="R50" i="9"/>
  <c r="S50" i="9"/>
  <c r="T50" i="9"/>
  <c r="U50" i="9"/>
  <c r="V50" i="9"/>
  <c r="W50" i="9"/>
  <c r="X50" i="9"/>
  <c r="Q51" i="9"/>
  <c r="R51" i="9"/>
  <c r="S51" i="9"/>
  <c r="T51" i="9"/>
  <c r="U51" i="9"/>
  <c r="V51" i="9"/>
  <c r="W51" i="9"/>
  <c r="X51" i="9"/>
  <c r="Q52" i="9"/>
  <c r="R52" i="9"/>
  <c r="S52" i="9"/>
  <c r="T52" i="9"/>
  <c r="U52" i="9"/>
  <c r="V52" i="9"/>
  <c r="W52" i="9"/>
  <c r="X52" i="9"/>
  <c r="Q53" i="9"/>
  <c r="R53" i="9"/>
  <c r="S53" i="9"/>
  <c r="T53" i="9"/>
  <c r="U53" i="9"/>
  <c r="V53" i="9"/>
  <c r="W53" i="9"/>
  <c r="X53" i="9"/>
  <c r="Q54" i="9"/>
  <c r="R54" i="9"/>
  <c r="S54" i="9"/>
  <c r="T54" i="9"/>
  <c r="U54" i="9"/>
  <c r="V54" i="9"/>
  <c r="W54" i="9"/>
  <c r="X54" i="9"/>
  <c r="Q55" i="9"/>
  <c r="R55" i="9"/>
  <c r="S55" i="9"/>
  <c r="T55" i="9"/>
  <c r="U55" i="9"/>
  <c r="V55" i="9"/>
  <c r="W55" i="9"/>
  <c r="X55" i="9"/>
  <c r="Q56" i="9"/>
  <c r="R56" i="9"/>
  <c r="S56" i="9"/>
  <c r="T56" i="9"/>
  <c r="U56" i="9"/>
  <c r="V56" i="9"/>
  <c r="W56" i="9"/>
  <c r="X56" i="9"/>
  <c r="Q57" i="9"/>
  <c r="R57" i="9"/>
  <c r="S57" i="9"/>
  <c r="T57" i="9"/>
  <c r="U57" i="9"/>
  <c r="V57" i="9"/>
  <c r="W57" i="9"/>
  <c r="X57" i="9"/>
  <c r="Q58" i="9"/>
  <c r="R58" i="9"/>
  <c r="S58" i="9"/>
  <c r="T58" i="9"/>
  <c r="U58" i="9"/>
  <c r="V58" i="9"/>
  <c r="W58" i="9"/>
  <c r="X58" i="9"/>
  <c r="Q59" i="9"/>
  <c r="R59" i="9"/>
  <c r="S59" i="9"/>
  <c r="T59" i="9"/>
  <c r="U59" i="9"/>
  <c r="V59" i="9"/>
  <c r="W59" i="9"/>
  <c r="X59" i="9"/>
  <c r="Q60" i="9"/>
  <c r="R60" i="9"/>
  <c r="S60" i="9"/>
  <c r="T60" i="9"/>
  <c r="U60" i="9"/>
  <c r="V60" i="9"/>
  <c r="W60" i="9"/>
  <c r="X60" i="9"/>
  <c r="Q61" i="9"/>
  <c r="R61" i="9"/>
  <c r="S61" i="9"/>
  <c r="T61" i="9"/>
  <c r="U61" i="9"/>
  <c r="V61" i="9"/>
  <c r="W61" i="9"/>
  <c r="X61" i="9"/>
  <c r="Q62" i="9"/>
  <c r="R62" i="9"/>
  <c r="S62" i="9"/>
  <c r="T62" i="9"/>
  <c r="U62" i="9"/>
  <c r="V62" i="9"/>
  <c r="W62" i="9"/>
  <c r="X62" i="9"/>
  <c r="Q63" i="9"/>
  <c r="R63" i="9"/>
  <c r="S63" i="9"/>
  <c r="T63" i="9"/>
  <c r="U63" i="9"/>
  <c r="V63" i="9"/>
  <c r="W63" i="9"/>
  <c r="X63" i="9"/>
  <c r="Q64" i="9"/>
  <c r="R64" i="9"/>
  <c r="S64" i="9"/>
  <c r="T64" i="9"/>
  <c r="U64" i="9"/>
  <c r="V64" i="9"/>
  <c r="W64" i="9"/>
  <c r="X64" i="9"/>
  <c r="Q65" i="9"/>
  <c r="R65" i="9"/>
  <c r="S65" i="9"/>
  <c r="T65" i="9"/>
  <c r="U65" i="9"/>
  <c r="V65" i="9"/>
  <c r="W65" i="9"/>
  <c r="X65" i="9"/>
  <c r="Q66" i="9"/>
  <c r="R66" i="9"/>
  <c r="S66" i="9"/>
  <c r="T66" i="9"/>
  <c r="U66" i="9"/>
  <c r="V66" i="9"/>
  <c r="W66" i="9"/>
  <c r="X66" i="9"/>
  <c r="Q67" i="9"/>
  <c r="R67" i="9"/>
  <c r="S67" i="9"/>
  <c r="T67" i="9"/>
  <c r="U67" i="9"/>
  <c r="V67" i="9"/>
  <c r="W67" i="9"/>
  <c r="X67" i="9"/>
  <c r="Q68" i="9"/>
  <c r="R68" i="9"/>
  <c r="S68" i="9"/>
  <c r="T68" i="9"/>
  <c r="U68" i="9"/>
  <c r="V68" i="9"/>
  <c r="W68" i="9"/>
  <c r="X68" i="9"/>
  <c r="Q69" i="9"/>
  <c r="R69" i="9"/>
  <c r="S69" i="9"/>
  <c r="T69" i="9"/>
  <c r="U69" i="9"/>
  <c r="V69" i="9"/>
  <c r="W69" i="9"/>
  <c r="X69" i="9"/>
  <c r="Q70" i="9"/>
  <c r="R70" i="9"/>
  <c r="S70" i="9"/>
  <c r="T70" i="9"/>
  <c r="U70" i="9"/>
  <c r="V70" i="9"/>
  <c r="W70" i="9"/>
  <c r="X70" i="9"/>
  <c r="Q71" i="9"/>
  <c r="R71" i="9"/>
  <c r="S71" i="9"/>
  <c r="T71" i="9"/>
  <c r="U71" i="9"/>
  <c r="V71" i="9"/>
  <c r="W71" i="9"/>
  <c r="X71" i="9"/>
  <c r="Q72" i="9"/>
  <c r="R72" i="9"/>
  <c r="S72" i="9"/>
  <c r="T72" i="9"/>
  <c r="U72" i="9"/>
  <c r="V72" i="9"/>
  <c r="W72" i="9"/>
  <c r="X72" i="9"/>
  <c r="Q73" i="9"/>
  <c r="R73" i="9"/>
  <c r="S73" i="9"/>
  <c r="T73" i="9"/>
  <c r="U73" i="9"/>
  <c r="V73" i="9"/>
  <c r="W73" i="9"/>
  <c r="X73" i="9"/>
  <c r="Q74" i="9"/>
  <c r="R74" i="9"/>
  <c r="S74" i="9"/>
  <c r="T74" i="9"/>
  <c r="U74" i="9"/>
  <c r="V74" i="9"/>
  <c r="W74" i="9"/>
  <c r="X74" i="9"/>
  <c r="Q75" i="9"/>
  <c r="R75" i="9"/>
  <c r="S75" i="9"/>
  <c r="T75" i="9"/>
  <c r="U75" i="9"/>
  <c r="V75" i="9"/>
  <c r="W75" i="9"/>
  <c r="X75" i="9"/>
  <c r="Q76" i="9"/>
  <c r="R76" i="9"/>
  <c r="S76" i="9"/>
  <c r="T76" i="9"/>
  <c r="U76" i="9"/>
  <c r="V76" i="9"/>
  <c r="W76" i="9"/>
  <c r="X76" i="9"/>
  <c r="Q77" i="9"/>
  <c r="R77" i="9"/>
  <c r="S77" i="9"/>
  <c r="T77" i="9"/>
  <c r="U77" i="9"/>
  <c r="V77" i="9"/>
  <c r="W77" i="9"/>
  <c r="X77" i="9"/>
  <c r="Q78" i="9"/>
  <c r="R78" i="9"/>
  <c r="S78" i="9"/>
  <c r="T78" i="9"/>
  <c r="U78" i="9"/>
  <c r="V78" i="9"/>
  <c r="W78" i="9"/>
  <c r="X78" i="9"/>
  <c r="Q79" i="9"/>
  <c r="R79" i="9"/>
  <c r="S79" i="9"/>
  <c r="T79" i="9"/>
  <c r="U79" i="9"/>
  <c r="V79" i="9"/>
  <c r="W79" i="9"/>
  <c r="X79" i="9"/>
  <c r="Q80" i="9"/>
  <c r="R80" i="9"/>
  <c r="S80" i="9"/>
  <c r="T80" i="9"/>
  <c r="U80" i="9"/>
  <c r="V80" i="9"/>
  <c r="W80" i="9"/>
  <c r="X80" i="9"/>
  <c r="Q81" i="9"/>
  <c r="R81" i="9"/>
  <c r="S81" i="9"/>
  <c r="T81" i="9"/>
  <c r="U81" i="9"/>
  <c r="V81" i="9"/>
  <c r="W81" i="9"/>
  <c r="X81" i="9"/>
  <c r="Q82" i="9"/>
  <c r="R82" i="9"/>
  <c r="S82" i="9"/>
  <c r="T82" i="9"/>
  <c r="U82" i="9"/>
  <c r="V82" i="9"/>
  <c r="W82" i="9"/>
  <c r="X82" i="9"/>
  <c r="Q83" i="9"/>
  <c r="R83" i="9"/>
  <c r="S83" i="9"/>
  <c r="T83" i="9"/>
  <c r="U83" i="9"/>
  <c r="V83" i="9"/>
  <c r="W83" i="9"/>
  <c r="X83" i="9"/>
  <c r="Q84" i="9"/>
  <c r="R84" i="9"/>
  <c r="S84" i="9"/>
  <c r="T84" i="9"/>
  <c r="U84" i="9"/>
  <c r="V84" i="9"/>
  <c r="W84" i="9"/>
  <c r="X84" i="9"/>
  <c r="Q85" i="9"/>
  <c r="R85" i="9"/>
  <c r="S85" i="9"/>
  <c r="T85" i="9"/>
  <c r="U85" i="9"/>
  <c r="V85" i="9"/>
  <c r="W85" i="9"/>
  <c r="X85" i="9"/>
  <c r="Q86" i="9"/>
  <c r="R86" i="9"/>
  <c r="S86" i="9"/>
  <c r="T86" i="9"/>
  <c r="U86" i="9"/>
  <c r="V86" i="9"/>
  <c r="W86" i="9"/>
  <c r="X86" i="9"/>
  <c r="Q87" i="9"/>
  <c r="R87" i="9"/>
  <c r="S87" i="9"/>
  <c r="T87" i="9"/>
  <c r="U87" i="9"/>
  <c r="V87" i="9"/>
  <c r="W87" i="9"/>
  <c r="X87" i="9"/>
  <c r="Q88" i="9"/>
  <c r="R88" i="9"/>
  <c r="S88" i="9"/>
  <c r="T88" i="9"/>
  <c r="U88" i="9"/>
  <c r="V88" i="9"/>
  <c r="W88" i="9"/>
  <c r="X88" i="9"/>
  <c r="Q89" i="9"/>
  <c r="R89" i="9"/>
  <c r="S89" i="9"/>
  <c r="T89" i="9"/>
  <c r="U89" i="9"/>
  <c r="V89" i="9"/>
  <c r="W89" i="9"/>
  <c r="X89" i="9"/>
  <c r="Q90" i="9"/>
  <c r="R90" i="9"/>
  <c r="S90" i="9"/>
  <c r="T90" i="9"/>
  <c r="U90" i="9"/>
  <c r="V90" i="9"/>
  <c r="W90" i="9"/>
  <c r="X90" i="9"/>
  <c r="Q91" i="9"/>
  <c r="R91" i="9"/>
  <c r="S91" i="9"/>
  <c r="T91" i="9"/>
  <c r="U91" i="9"/>
  <c r="V91" i="9"/>
  <c r="W91" i="9"/>
  <c r="X91" i="9"/>
  <c r="Q92" i="9"/>
  <c r="R92" i="9"/>
  <c r="S92" i="9"/>
  <c r="T92" i="9"/>
  <c r="U92" i="9"/>
  <c r="V92" i="9"/>
  <c r="W92" i="9"/>
  <c r="X92" i="9"/>
  <c r="Q93" i="9"/>
  <c r="R93" i="9"/>
  <c r="S93" i="9"/>
  <c r="T93" i="9"/>
  <c r="U93" i="9"/>
  <c r="V93" i="9"/>
  <c r="W93" i="9"/>
  <c r="X93" i="9"/>
  <c r="Q94" i="9"/>
  <c r="R94" i="9"/>
  <c r="S94" i="9"/>
  <c r="T94" i="9"/>
  <c r="U94" i="9"/>
  <c r="V94" i="9"/>
  <c r="W94" i="9"/>
  <c r="X94" i="9"/>
  <c r="Q95" i="9"/>
  <c r="R95" i="9"/>
  <c r="S95" i="9"/>
  <c r="T95" i="9"/>
  <c r="U95" i="9"/>
  <c r="V95" i="9"/>
  <c r="W95" i="9"/>
  <c r="X95" i="9"/>
  <c r="Q96" i="9"/>
  <c r="R96" i="9"/>
  <c r="S96" i="9"/>
  <c r="T96" i="9"/>
  <c r="U96" i="9"/>
  <c r="V96" i="9"/>
  <c r="W96" i="9"/>
  <c r="X96" i="9"/>
  <c r="Q97" i="9"/>
  <c r="R97" i="9"/>
  <c r="S97" i="9"/>
  <c r="T97" i="9"/>
  <c r="U97" i="9"/>
  <c r="V97" i="9"/>
  <c r="W97" i="9"/>
  <c r="X97" i="9"/>
  <c r="Q98" i="9"/>
  <c r="R98" i="9"/>
  <c r="S98" i="9"/>
  <c r="T98" i="9"/>
  <c r="U98" i="9"/>
  <c r="V98" i="9"/>
  <c r="W98" i="9"/>
  <c r="X98" i="9"/>
  <c r="Q99" i="9"/>
  <c r="R99" i="9"/>
  <c r="S99" i="9"/>
  <c r="T99" i="9"/>
  <c r="U99" i="9"/>
  <c r="V99" i="9"/>
  <c r="W99" i="9"/>
  <c r="X99" i="9"/>
  <c r="Q100" i="9"/>
  <c r="R100" i="9"/>
  <c r="S100" i="9"/>
  <c r="T100" i="9"/>
  <c r="U100" i="9"/>
  <c r="V100" i="9"/>
  <c r="W100" i="9"/>
  <c r="X100" i="9"/>
  <c r="Q101" i="9"/>
  <c r="R101" i="9"/>
  <c r="S101" i="9"/>
  <c r="T101" i="9"/>
  <c r="U101" i="9"/>
  <c r="V101" i="9"/>
  <c r="W101" i="9"/>
  <c r="X101" i="9"/>
  <c r="Q102" i="9"/>
  <c r="R102" i="9"/>
  <c r="S102" i="9"/>
  <c r="T102" i="9"/>
  <c r="U102" i="9"/>
  <c r="V102" i="9"/>
  <c r="W102" i="9"/>
  <c r="X102" i="9"/>
  <c r="Q103" i="9"/>
  <c r="R103" i="9"/>
  <c r="S103" i="9"/>
  <c r="T103" i="9"/>
  <c r="U103" i="9"/>
  <c r="V103" i="9"/>
  <c r="W103" i="9"/>
  <c r="X103" i="9"/>
  <c r="Q104" i="9"/>
  <c r="R104" i="9"/>
  <c r="S104" i="9"/>
  <c r="T104" i="9"/>
  <c r="U104" i="9"/>
  <c r="V104" i="9"/>
  <c r="W104" i="9"/>
  <c r="X104" i="9"/>
  <c r="Q105" i="9"/>
  <c r="R105" i="9"/>
  <c r="S105" i="9"/>
  <c r="T105" i="9"/>
  <c r="U105" i="9"/>
  <c r="V105" i="9"/>
  <c r="W105" i="9"/>
  <c r="X105" i="9"/>
  <c r="Q106" i="9"/>
  <c r="R106" i="9"/>
  <c r="S106" i="9"/>
  <c r="T106" i="9"/>
  <c r="U106" i="9"/>
  <c r="V106" i="9"/>
  <c r="W106" i="9"/>
  <c r="X106" i="9"/>
  <c r="Q107" i="9"/>
  <c r="R107" i="9"/>
  <c r="S107" i="9"/>
  <c r="T107" i="9"/>
  <c r="U107" i="9"/>
  <c r="V107" i="9"/>
  <c r="W107" i="9"/>
  <c r="X107" i="9"/>
  <c r="Q108" i="9"/>
  <c r="R108" i="9"/>
  <c r="S108" i="9"/>
  <c r="T108" i="9"/>
  <c r="U108" i="9"/>
  <c r="V108" i="9"/>
  <c r="W108" i="9"/>
  <c r="X108" i="9"/>
  <c r="Q109" i="9"/>
  <c r="R109" i="9"/>
  <c r="S109" i="9"/>
  <c r="T109" i="9"/>
  <c r="U109" i="9"/>
  <c r="V109" i="9"/>
  <c r="W109" i="9"/>
  <c r="X109" i="9"/>
  <c r="Q110" i="9"/>
  <c r="R110" i="9"/>
  <c r="S110" i="9"/>
  <c r="T110" i="9"/>
  <c r="U110" i="9"/>
  <c r="V110" i="9"/>
  <c r="W110" i="9"/>
  <c r="X110" i="9"/>
  <c r="Q111" i="9"/>
  <c r="R111" i="9"/>
  <c r="S111" i="9"/>
  <c r="T111" i="9"/>
  <c r="U111" i="9"/>
  <c r="V111" i="9"/>
  <c r="W111" i="9"/>
  <c r="X111" i="9"/>
  <c r="C113" i="3"/>
  <c r="R112" i="9"/>
  <c r="S112" i="9"/>
  <c r="T112" i="9"/>
  <c r="U112" i="9"/>
  <c r="V112" i="9"/>
  <c r="W112" i="9"/>
  <c r="X112" i="9"/>
  <c r="Q113" i="9"/>
  <c r="R113" i="9"/>
  <c r="S113" i="9"/>
  <c r="T113" i="9"/>
  <c r="U113" i="9"/>
  <c r="V113" i="9"/>
  <c r="W113" i="9"/>
  <c r="X113" i="9"/>
  <c r="Q114" i="9"/>
  <c r="R114" i="9"/>
  <c r="S114" i="9"/>
  <c r="T114" i="9"/>
  <c r="U114" i="9"/>
  <c r="V114" i="9"/>
  <c r="W114" i="9"/>
  <c r="X114" i="9"/>
  <c r="Q115" i="9"/>
  <c r="R115" i="9"/>
  <c r="S115" i="9"/>
  <c r="T115" i="9"/>
  <c r="U115" i="9"/>
  <c r="V115" i="9"/>
  <c r="W115" i="9"/>
  <c r="X115" i="9"/>
  <c r="Q116" i="9"/>
  <c r="R116" i="9"/>
  <c r="S116" i="9"/>
  <c r="T116" i="9"/>
  <c r="U116" i="9"/>
  <c r="V116" i="9"/>
  <c r="W116" i="9"/>
  <c r="X116" i="9"/>
  <c r="Q117" i="9"/>
  <c r="R117" i="9"/>
  <c r="S117" i="9"/>
  <c r="T117" i="9"/>
  <c r="U117" i="9"/>
  <c r="V117" i="9"/>
  <c r="W117" i="9"/>
  <c r="X117" i="9"/>
  <c r="Q118" i="9"/>
  <c r="R118" i="9"/>
  <c r="S118" i="9"/>
  <c r="T118" i="9"/>
  <c r="U118" i="9"/>
  <c r="V118" i="9"/>
  <c r="W118" i="9"/>
  <c r="X118" i="9"/>
  <c r="Q119" i="9"/>
  <c r="R119" i="9"/>
  <c r="S119" i="9"/>
  <c r="T119" i="9"/>
  <c r="U119" i="9"/>
  <c r="V119" i="9"/>
  <c r="W119" i="9"/>
  <c r="X119" i="9"/>
  <c r="Q120" i="9"/>
  <c r="R120" i="9"/>
  <c r="S120" i="9"/>
  <c r="T120" i="9"/>
  <c r="U120" i="9"/>
  <c r="V120" i="9"/>
  <c r="W120" i="9"/>
  <c r="X120" i="9"/>
  <c r="Q121" i="9"/>
  <c r="R121" i="9"/>
  <c r="S121" i="9"/>
  <c r="T121" i="9"/>
  <c r="U121" i="9"/>
  <c r="V121" i="9"/>
  <c r="W121" i="9"/>
  <c r="X121" i="9"/>
  <c r="Q122" i="9"/>
  <c r="R122" i="9"/>
  <c r="S122" i="9"/>
  <c r="T122" i="9"/>
  <c r="U122" i="9"/>
  <c r="V122" i="9"/>
  <c r="W122" i="9"/>
  <c r="X122" i="9"/>
  <c r="Q123" i="9"/>
  <c r="R123" i="9"/>
  <c r="S123" i="9"/>
  <c r="T123" i="9"/>
  <c r="U123" i="9"/>
  <c r="V123" i="9"/>
  <c r="W123" i="9"/>
  <c r="X123" i="9"/>
  <c r="Q4" i="9"/>
  <c r="R4" i="9"/>
  <c r="S4" i="9"/>
  <c r="T4" i="9"/>
  <c r="U4" i="9"/>
  <c r="V4" i="9"/>
  <c r="W4" i="9"/>
  <c r="X4" i="9"/>
  <c r="S5" i="9"/>
  <c r="T5" i="9"/>
  <c r="U5" i="9"/>
  <c r="V5" i="9"/>
  <c r="W5" i="9"/>
  <c r="X5" i="9"/>
  <c r="Q5" i="9"/>
  <c r="C6" i="3" s="1"/>
  <c r="P33" i="9"/>
  <c r="Y5" i="9"/>
  <c r="Y6" i="9"/>
  <c r="Y7" i="9"/>
  <c r="Y8" i="9"/>
  <c r="Y9" i="9"/>
  <c r="Y10" i="9"/>
  <c r="Y11" i="9"/>
  <c r="Y12" i="9"/>
  <c r="Y13" i="9"/>
  <c r="Y14" i="9"/>
  <c r="Y15" i="9"/>
  <c r="Y16" i="9"/>
  <c r="Y17" i="9"/>
  <c r="Y18" i="9"/>
  <c r="Y19" i="9"/>
  <c r="Y20" i="9"/>
  <c r="Y21" i="9"/>
  <c r="Y22" i="9"/>
  <c r="Y23" i="9"/>
  <c r="Y24" i="9"/>
  <c r="Y25" i="9"/>
  <c r="Y26" i="9"/>
  <c r="Y27" i="9"/>
  <c r="Y28" i="9"/>
  <c r="Y29" i="9"/>
  <c r="Y30" i="9"/>
  <c r="Y31" i="9"/>
  <c r="Y32" i="9"/>
  <c r="Y33" i="9"/>
  <c r="Y34" i="9"/>
  <c r="Y35" i="9"/>
  <c r="Y36" i="9"/>
  <c r="Y37" i="9"/>
  <c r="Y38" i="9"/>
  <c r="Y39" i="9"/>
  <c r="Y40" i="9"/>
  <c r="Y41" i="9"/>
  <c r="Y42" i="9"/>
  <c r="Y43" i="9"/>
  <c r="Y44" i="9"/>
  <c r="Y45" i="9"/>
  <c r="Y46" i="9"/>
  <c r="Y47" i="9"/>
  <c r="Y48" i="9"/>
  <c r="Y49" i="9"/>
  <c r="Y50" i="9"/>
  <c r="Y51" i="9"/>
  <c r="Y52" i="9"/>
  <c r="Y53" i="9"/>
  <c r="Y54" i="9"/>
  <c r="Y55" i="9"/>
  <c r="Y56" i="9"/>
  <c r="Y57" i="9"/>
  <c r="Y58" i="9"/>
  <c r="Y59" i="9"/>
  <c r="Y60" i="9"/>
  <c r="Y61" i="9"/>
  <c r="Y62" i="9"/>
  <c r="Y63" i="9"/>
  <c r="Y64" i="9"/>
  <c r="Y65" i="9"/>
  <c r="Y66" i="9"/>
  <c r="Y67" i="9"/>
  <c r="Y68" i="9"/>
  <c r="Y69" i="9"/>
  <c r="Y70" i="9"/>
  <c r="Y71" i="9"/>
  <c r="Y72" i="9"/>
  <c r="Y73" i="9"/>
  <c r="Y74" i="9"/>
  <c r="Y75" i="9"/>
  <c r="Y76" i="9"/>
  <c r="Y77" i="9"/>
  <c r="Y78" i="9"/>
  <c r="Y79" i="9"/>
  <c r="Y80" i="9"/>
  <c r="Y81" i="9"/>
  <c r="Y82" i="9"/>
  <c r="Y83" i="9"/>
  <c r="Y84" i="9"/>
  <c r="Y85" i="9"/>
  <c r="Y86" i="9"/>
  <c r="Y87" i="9"/>
  <c r="Y88" i="9"/>
  <c r="Y89" i="9"/>
  <c r="Y90" i="9"/>
  <c r="Y91" i="9"/>
  <c r="Y92" i="9"/>
  <c r="Y93" i="9"/>
  <c r="Y94" i="9"/>
  <c r="Y95" i="9"/>
  <c r="Y96" i="9"/>
  <c r="Y97" i="9"/>
  <c r="Y98" i="9"/>
  <c r="Y99" i="9"/>
  <c r="Y100" i="9"/>
  <c r="Y101" i="9"/>
  <c r="Y102" i="9"/>
  <c r="Y103" i="9"/>
  <c r="Y104" i="9"/>
  <c r="Y105" i="9"/>
  <c r="Y106" i="9"/>
  <c r="Y107" i="9"/>
  <c r="Y108" i="9"/>
  <c r="Y109" i="9"/>
  <c r="Y110" i="9"/>
  <c r="Y111" i="9"/>
  <c r="Y112" i="9"/>
  <c r="Y113" i="9"/>
  <c r="Y114" i="9"/>
  <c r="Y115" i="9"/>
  <c r="Y116" i="9"/>
  <c r="Y117" i="9"/>
  <c r="Y118" i="9"/>
  <c r="Y119" i="9"/>
  <c r="Y120" i="9"/>
  <c r="Y121" i="9"/>
  <c r="Y122" i="9"/>
  <c r="Y123" i="9"/>
  <c r="Y4" i="9"/>
  <c r="P5" i="9"/>
  <c r="P6" i="9"/>
  <c r="B7" i="3" s="1"/>
  <c r="P7" i="9"/>
  <c r="P8" i="9"/>
  <c r="B9" i="3" s="1"/>
  <c r="P9" i="9"/>
  <c r="B10" i="3" s="1"/>
  <c r="P10" i="9"/>
  <c r="B11" i="3" s="1"/>
  <c r="P11" i="9"/>
  <c r="B12" i="3" s="1"/>
  <c r="P12" i="9"/>
  <c r="P13" i="9"/>
  <c r="B14" i="3" s="1"/>
  <c r="P14" i="9"/>
  <c r="B15" i="3" s="1"/>
  <c r="P15" i="9"/>
  <c r="P16" i="9"/>
  <c r="B17" i="3" s="1"/>
  <c r="P17" i="9"/>
  <c r="B18" i="3" s="1"/>
  <c r="P18" i="9"/>
  <c r="B19" i="3" s="1"/>
  <c r="P19" i="9"/>
  <c r="B20" i="3" s="1"/>
  <c r="P20" i="9"/>
  <c r="P21" i="9"/>
  <c r="B22" i="3" s="1"/>
  <c r="P22" i="9"/>
  <c r="B23" i="3" s="1"/>
  <c r="P23" i="9"/>
  <c r="P24" i="9"/>
  <c r="B25" i="3" s="1"/>
  <c r="P25" i="9"/>
  <c r="B26" i="3" s="1"/>
  <c r="P26" i="9"/>
  <c r="B27" i="3" s="1"/>
  <c r="P27" i="9"/>
  <c r="B28" i="3" s="1"/>
  <c r="P28" i="9"/>
  <c r="P29" i="9"/>
  <c r="B30" i="3" s="1"/>
  <c r="P30" i="9"/>
  <c r="B31" i="3" s="1"/>
  <c r="P31" i="9"/>
  <c r="B32" i="3" s="1"/>
  <c r="P32" i="9"/>
  <c r="B33" i="3" s="1"/>
  <c r="P34" i="9"/>
  <c r="B35" i="3" s="1"/>
  <c r="P35" i="9"/>
  <c r="B36" i="3" s="1"/>
  <c r="P36" i="9"/>
  <c r="P37" i="9"/>
  <c r="P38" i="9"/>
  <c r="B39" i="3" s="1"/>
  <c r="P39" i="9"/>
  <c r="B40" i="3" s="1"/>
  <c r="P40" i="9"/>
  <c r="P41" i="9"/>
  <c r="B42" i="3" s="1"/>
  <c r="P42" i="9"/>
  <c r="B43" i="3" s="1"/>
  <c r="P43" i="9"/>
  <c r="B44" i="3" s="1"/>
  <c r="P44" i="9"/>
  <c r="P45" i="9"/>
  <c r="P46" i="9"/>
  <c r="B47" i="3" s="1"/>
  <c r="P47" i="9"/>
  <c r="B48" i="3" s="1"/>
  <c r="P48" i="9"/>
  <c r="P49" i="9"/>
  <c r="B50" i="3" s="1"/>
  <c r="P50" i="9"/>
  <c r="B51" i="3" s="1"/>
  <c r="P51" i="9"/>
  <c r="B52" i="3" s="1"/>
  <c r="P52" i="9"/>
  <c r="P53" i="9"/>
  <c r="P54" i="9"/>
  <c r="B55" i="3" s="1"/>
  <c r="P55" i="9"/>
  <c r="B56" i="3" s="1"/>
  <c r="P56" i="9"/>
  <c r="P57" i="9"/>
  <c r="B58" i="3" s="1"/>
  <c r="P58" i="9"/>
  <c r="B59" i="3" s="1"/>
  <c r="P59" i="9"/>
  <c r="B60" i="3" s="1"/>
  <c r="P60" i="9"/>
  <c r="P61" i="9"/>
  <c r="P62" i="9"/>
  <c r="B63" i="3" s="1"/>
  <c r="P63" i="9"/>
  <c r="B64" i="3" s="1"/>
  <c r="P64" i="9"/>
  <c r="B65" i="3" s="1"/>
  <c r="P65" i="9"/>
  <c r="B66" i="3" s="1"/>
  <c r="P66" i="9"/>
  <c r="B67" i="3" s="1"/>
  <c r="P67" i="9"/>
  <c r="B68" i="3" s="1"/>
  <c r="P68" i="9"/>
  <c r="P69" i="9"/>
  <c r="P70" i="9"/>
  <c r="B71" i="3" s="1"/>
  <c r="P71" i="9"/>
  <c r="B72" i="3" s="1"/>
  <c r="P72" i="9"/>
  <c r="P73" i="9"/>
  <c r="B74" i="3" s="1"/>
  <c r="P74" i="9"/>
  <c r="B75" i="3" s="1"/>
  <c r="P75" i="9"/>
  <c r="B76" i="3" s="1"/>
  <c r="P76" i="9"/>
  <c r="P77" i="9"/>
  <c r="P78" i="9"/>
  <c r="B79" i="3" s="1"/>
  <c r="P79" i="9"/>
  <c r="B80" i="3" s="1"/>
  <c r="P80" i="9"/>
  <c r="P81" i="9"/>
  <c r="B82" i="3" s="1"/>
  <c r="P82" i="9"/>
  <c r="B83" i="3" s="1"/>
  <c r="P83" i="9"/>
  <c r="B84" i="3" s="1"/>
  <c r="P84" i="9"/>
  <c r="P85" i="9"/>
  <c r="P86" i="9"/>
  <c r="B87" i="3" s="1"/>
  <c r="P87" i="9"/>
  <c r="B88" i="3" s="1"/>
  <c r="P88" i="9"/>
  <c r="P89" i="9"/>
  <c r="B90" i="3" s="1"/>
  <c r="P90" i="9"/>
  <c r="B91" i="3" s="1"/>
  <c r="P91" i="9"/>
  <c r="B92" i="3" s="1"/>
  <c r="P92" i="9"/>
  <c r="P93" i="9"/>
  <c r="P94" i="9"/>
  <c r="B95" i="3" s="1"/>
  <c r="P95" i="9"/>
  <c r="B96" i="3" s="1"/>
  <c r="P96" i="9"/>
  <c r="B97" i="3" s="1"/>
  <c r="P97" i="9"/>
  <c r="B98" i="3" s="1"/>
  <c r="P98" i="9"/>
  <c r="B99" i="3" s="1"/>
  <c r="P99" i="9"/>
  <c r="B100" i="3" s="1"/>
  <c r="P100" i="9"/>
  <c r="P101" i="9"/>
  <c r="P102" i="9"/>
  <c r="B103" i="3" s="1"/>
  <c r="P103" i="9"/>
  <c r="B104" i="3" s="1"/>
  <c r="P104" i="9"/>
  <c r="P105" i="9"/>
  <c r="B106" i="3" s="1"/>
  <c r="P106" i="9"/>
  <c r="B107" i="3" s="1"/>
  <c r="P107" i="9"/>
  <c r="B108" i="3" s="1"/>
  <c r="P108" i="9"/>
  <c r="P109" i="9"/>
  <c r="P110" i="9"/>
  <c r="B111" i="3" s="1"/>
  <c r="P111" i="9"/>
  <c r="B112" i="3" s="1"/>
  <c r="P112" i="9"/>
  <c r="B113" i="3" s="1"/>
  <c r="P113" i="9"/>
  <c r="B114" i="3" s="1"/>
  <c r="P114" i="9"/>
  <c r="B115" i="3" s="1"/>
  <c r="P115" i="9"/>
  <c r="B116" i="3" s="1"/>
  <c r="P116" i="9"/>
  <c r="P117" i="9"/>
  <c r="P118" i="9"/>
  <c r="B119" i="3" s="1"/>
  <c r="P119" i="9"/>
  <c r="B120" i="3" s="1"/>
  <c r="P120" i="9"/>
  <c r="P121" i="9"/>
  <c r="B122" i="3" s="1"/>
  <c r="P122" i="9"/>
  <c r="B123" i="3" s="1"/>
  <c r="P123" i="9"/>
  <c r="B124" i="3" s="1"/>
  <c r="P4" i="9"/>
  <c r="M79" i="11" l="1"/>
  <c r="U11" i="3"/>
  <c r="J126" i="3"/>
  <c r="G130" i="3"/>
  <c r="U9" i="3"/>
  <c r="U8" i="3"/>
  <c r="X8" i="3" s="1"/>
  <c r="Y8" i="3" s="1"/>
  <c r="U14" i="3"/>
  <c r="T113" i="3"/>
  <c r="U7" i="3"/>
  <c r="U12" i="3"/>
  <c r="X12" i="3" s="1"/>
  <c r="Y12" i="3" s="1"/>
  <c r="Q126" i="3"/>
  <c r="Q130" i="3" s="1"/>
  <c r="I130" i="3"/>
  <c r="L126" i="3"/>
  <c r="L130" i="3" s="1"/>
  <c r="U6" i="3"/>
  <c r="X6" i="3" s="1"/>
  <c r="Y6" i="3" s="1"/>
  <c r="X9" i="3"/>
  <c r="Z9" i="3" s="1"/>
  <c r="C124" i="3"/>
  <c r="AB124" i="11"/>
  <c r="C123" i="3"/>
  <c r="AB123" i="11"/>
  <c r="C122" i="3"/>
  <c r="AB122" i="11"/>
  <c r="C121" i="3"/>
  <c r="AB103" i="11"/>
  <c r="C120" i="3"/>
  <c r="AB81" i="11"/>
  <c r="C119" i="3"/>
  <c r="AB102" i="11"/>
  <c r="C118" i="3"/>
  <c r="AB61" i="11"/>
  <c r="C117" i="3"/>
  <c r="AB121" i="11"/>
  <c r="C116" i="3"/>
  <c r="AB60" i="11"/>
  <c r="C115" i="3"/>
  <c r="AB58" i="11"/>
  <c r="C114" i="3"/>
  <c r="AB79" i="11"/>
  <c r="C112" i="3"/>
  <c r="AB101" i="11"/>
  <c r="C111" i="3"/>
  <c r="AB78" i="11"/>
  <c r="C110" i="3"/>
  <c r="AB57" i="11"/>
  <c r="C109" i="3"/>
  <c r="AB34" i="11"/>
  <c r="C108" i="3"/>
  <c r="AB56" i="11"/>
  <c r="C107" i="3"/>
  <c r="AB77" i="11"/>
  <c r="C106" i="3"/>
  <c r="AB100" i="11"/>
  <c r="C105" i="3"/>
  <c r="AB33" i="11"/>
  <c r="C104" i="3"/>
  <c r="AB32" i="11"/>
  <c r="C103" i="3"/>
  <c r="AB31" i="11"/>
  <c r="C102" i="3"/>
  <c r="AB76" i="11"/>
  <c r="C101" i="3"/>
  <c r="AB30" i="11"/>
  <c r="C100" i="3"/>
  <c r="AB99" i="11"/>
  <c r="C99" i="3"/>
  <c r="AB29" i="11"/>
  <c r="C98" i="3"/>
  <c r="AB55" i="11"/>
  <c r="C97" i="3"/>
  <c r="AB98" i="11"/>
  <c r="C96" i="3"/>
  <c r="AB120" i="11"/>
  <c r="C95" i="3"/>
  <c r="AB75" i="11"/>
  <c r="C94" i="3"/>
  <c r="AB28" i="11"/>
  <c r="C93" i="3"/>
  <c r="AB74" i="11"/>
  <c r="C92" i="3"/>
  <c r="AB119" i="11"/>
  <c r="C91" i="3"/>
  <c r="AB118" i="11"/>
  <c r="C90" i="3"/>
  <c r="AB54" i="11"/>
  <c r="C89" i="3"/>
  <c r="AB53" i="11"/>
  <c r="C88" i="3"/>
  <c r="AB73" i="11"/>
  <c r="C87" i="3"/>
  <c r="AB116" i="11"/>
  <c r="C86" i="3"/>
  <c r="AB97" i="11"/>
  <c r="C85" i="3"/>
  <c r="AB72" i="11"/>
  <c r="C84" i="3"/>
  <c r="AB52" i="11"/>
  <c r="C83" i="3"/>
  <c r="AB96" i="11"/>
  <c r="C82" i="3"/>
  <c r="AB27" i="11"/>
  <c r="C81" i="3"/>
  <c r="AB26" i="11"/>
  <c r="C80" i="3"/>
  <c r="AB71" i="11"/>
  <c r="C79" i="3"/>
  <c r="AB95" i="11"/>
  <c r="C78" i="3"/>
  <c r="AB51" i="11"/>
  <c r="C77" i="3"/>
  <c r="AB70" i="11"/>
  <c r="C76" i="3"/>
  <c r="AB25" i="11"/>
  <c r="C75" i="3"/>
  <c r="AB24" i="11"/>
  <c r="C74" i="3"/>
  <c r="AB50" i="11"/>
  <c r="C73" i="3"/>
  <c r="AB49" i="11"/>
  <c r="C72" i="3"/>
  <c r="AB115" i="11"/>
  <c r="C71" i="3"/>
  <c r="AB48" i="11"/>
  <c r="C70" i="3"/>
  <c r="AB114" i="11"/>
  <c r="C69" i="3"/>
  <c r="AB47" i="11"/>
  <c r="C68" i="3"/>
  <c r="AB23" i="11"/>
  <c r="C67" i="3"/>
  <c r="AB22" i="11"/>
  <c r="C66" i="3"/>
  <c r="AB21" i="11"/>
  <c r="C65" i="3"/>
  <c r="AB20" i="11"/>
  <c r="C64" i="3"/>
  <c r="AB68" i="11"/>
  <c r="C63" i="3"/>
  <c r="AB94" i="11"/>
  <c r="C62" i="3"/>
  <c r="AB19" i="11"/>
  <c r="C61" i="3"/>
  <c r="AB113" i="11"/>
  <c r="C60" i="3"/>
  <c r="AB93" i="11"/>
  <c r="C59" i="3"/>
  <c r="AB46" i="11"/>
  <c r="C58" i="3"/>
  <c r="AB112" i="11"/>
  <c r="C57" i="3"/>
  <c r="AB18" i="11"/>
  <c r="C56" i="3"/>
  <c r="AB92" i="11"/>
  <c r="C55" i="3"/>
  <c r="AB90" i="11"/>
  <c r="C54" i="3"/>
  <c r="AB16" i="11"/>
  <c r="C53" i="3"/>
  <c r="AB45" i="11"/>
  <c r="C52" i="3"/>
  <c r="AB88" i="11"/>
  <c r="C51" i="3"/>
  <c r="AB15" i="11"/>
  <c r="C50" i="3"/>
  <c r="AB111" i="11"/>
  <c r="C49" i="3"/>
  <c r="AB14" i="11"/>
  <c r="C48" i="3"/>
  <c r="AB87" i="11"/>
  <c r="C47" i="3"/>
  <c r="AB44" i="11"/>
  <c r="C46" i="3"/>
  <c r="AB67" i="11"/>
  <c r="C45" i="3"/>
  <c r="AB13" i="11"/>
  <c r="C44" i="3"/>
  <c r="AB43" i="11"/>
  <c r="C43" i="3"/>
  <c r="AB12" i="11"/>
  <c r="C42" i="3"/>
  <c r="AB66" i="11"/>
  <c r="C41" i="3"/>
  <c r="AB65" i="11"/>
  <c r="C40" i="3"/>
  <c r="AB86" i="11"/>
  <c r="C39" i="3"/>
  <c r="AB110" i="11"/>
  <c r="C38" i="3"/>
  <c r="AB108" i="11"/>
  <c r="C37" i="3"/>
  <c r="AB107" i="11"/>
  <c r="C36" i="3"/>
  <c r="AB42" i="11"/>
  <c r="C35" i="3"/>
  <c r="AB41" i="11"/>
  <c r="C34" i="3"/>
  <c r="AB11" i="11"/>
  <c r="C33" i="3"/>
  <c r="AB40" i="11"/>
  <c r="C32" i="3"/>
  <c r="AB64" i="11"/>
  <c r="C31" i="3"/>
  <c r="AB39" i="11"/>
  <c r="C30" i="3"/>
  <c r="AB85" i="11"/>
  <c r="C29" i="3"/>
  <c r="AB106" i="11"/>
  <c r="C28" i="3"/>
  <c r="AB105" i="11"/>
  <c r="C27" i="3"/>
  <c r="AB10" i="11"/>
  <c r="C26" i="3"/>
  <c r="AB9" i="11"/>
  <c r="C25" i="3"/>
  <c r="AB8" i="11"/>
  <c r="C24" i="3"/>
  <c r="AB84" i="11"/>
  <c r="C23" i="3"/>
  <c r="AB38" i="11"/>
  <c r="C22" i="3"/>
  <c r="AB37" i="11"/>
  <c r="C21" i="3"/>
  <c r="AB36" i="11"/>
  <c r="C20" i="3"/>
  <c r="AB63" i="11"/>
  <c r="C19" i="3"/>
  <c r="AB7" i="11"/>
  <c r="C18" i="3"/>
  <c r="AB83" i="11"/>
  <c r="C17" i="3"/>
  <c r="AB62" i="11"/>
  <c r="C16" i="3"/>
  <c r="AB82" i="11"/>
  <c r="C15" i="3"/>
  <c r="AB104" i="11"/>
  <c r="W113" i="3"/>
  <c r="D124" i="3"/>
  <c r="AC124" i="11"/>
  <c r="D123" i="3"/>
  <c r="AC123" i="11"/>
  <c r="D122" i="3"/>
  <c r="AC122" i="11"/>
  <c r="D121" i="3"/>
  <c r="AC103" i="11"/>
  <c r="D120" i="3"/>
  <c r="AC81" i="11"/>
  <c r="D119" i="3"/>
  <c r="AC102" i="11"/>
  <c r="D118" i="3"/>
  <c r="AC61" i="11"/>
  <c r="D117" i="3"/>
  <c r="AC121" i="11"/>
  <c r="D116" i="3"/>
  <c r="AC60" i="11"/>
  <c r="D115" i="3"/>
  <c r="AC58" i="11"/>
  <c r="D114" i="3"/>
  <c r="AC79" i="11"/>
  <c r="D113" i="3"/>
  <c r="AC35" i="11"/>
  <c r="D112" i="3"/>
  <c r="AC101" i="11"/>
  <c r="D111" i="3"/>
  <c r="AC78" i="11"/>
  <c r="D110" i="3"/>
  <c r="AC57" i="11"/>
  <c r="D109" i="3"/>
  <c r="AC34" i="11"/>
  <c r="D108" i="3"/>
  <c r="AC56" i="11"/>
  <c r="D107" i="3"/>
  <c r="AC77" i="11"/>
  <c r="D106" i="3"/>
  <c r="AC100" i="11"/>
  <c r="D105" i="3"/>
  <c r="AC33" i="11"/>
  <c r="D104" i="3"/>
  <c r="AC32" i="11"/>
  <c r="D103" i="3"/>
  <c r="AC31" i="11"/>
  <c r="D102" i="3"/>
  <c r="AC76" i="11"/>
  <c r="D101" i="3"/>
  <c r="AC30" i="11"/>
  <c r="D100" i="3"/>
  <c r="AC99" i="11"/>
  <c r="D99" i="3"/>
  <c r="AC29" i="11"/>
  <c r="D98" i="3"/>
  <c r="AC55" i="11"/>
  <c r="D97" i="3"/>
  <c r="AC98" i="11"/>
  <c r="D96" i="3"/>
  <c r="AC120" i="11"/>
  <c r="D95" i="3"/>
  <c r="AC75" i="11"/>
  <c r="D94" i="3"/>
  <c r="AC28" i="11"/>
  <c r="D93" i="3"/>
  <c r="AC74" i="11"/>
  <c r="D92" i="3"/>
  <c r="AC119" i="11"/>
  <c r="D91" i="3"/>
  <c r="AC118" i="11"/>
  <c r="D90" i="3"/>
  <c r="AC54" i="11"/>
  <c r="D89" i="3"/>
  <c r="AC53" i="11"/>
  <c r="D88" i="3"/>
  <c r="AC73" i="11"/>
  <c r="D87" i="3"/>
  <c r="AC116" i="11"/>
  <c r="D86" i="3"/>
  <c r="AC97" i="11"/>
  <c r="D85" i="3"/>
  <c r="AC72" i="11"/>
  <c r="D84" i="3"/>
  <c r="AC52" i="11"/>
  <c r="D83" i="3"/>
  <c r="AC96" i="11"/>
  <c r="D82" i="3"/>
  <c r="AC27" i="11"/>
  <c r="D81" i="3"/>
  <c r="AC26" i="11"/>
  <c r="D80" i="3"/>
  <c r="AC71" i="11"/>
  <c r="D79" i="3"/>
  <c r="AC95" i="11"/>
  <c r="D78" i="3"/>
  <c r="AC51" i="11"/>
  <c r="D77" i="3"/>
  <c r="AC70" i="11"/>
  <c r="D76" i="3"/>
  <c r="AC25" i="11"/>
  <c r="D75" i="3"/>
  <c r="AC24" i="11"/>
  <c r="D74" i="3"/>
  <c r="AC50" i="11"/>
  <c r="D73" i="3"/>
  <c r="AC49" i="11"/>
  <c r="D72" i="3"/>
  <c r="AC115" i="11"/>
  <c r="D71" i="3"/>
  <c r="AC48" i="11"/>
  <c r="D70" i="3"/>
  <c r="AC114" i="11"/>
  <c r="D69" i="3"/>
  <c r="AC47" i="11"/>
  <c r="D68" i="3"/>
  <c r="AC23" i="11"/>
  <c r="D67" i="3"/>
  <c r="AC22" i="11"/>
  <c r="D66" i="3"/>
  <c r="AC21" i="11"/>
  <c r="D65" i="3"/>
  <c r="AC20" i="11"/>
  <c r="D64" i="3"/>
  <c r="AC68" i="11"/>
  <c r="D63" i="3"/>
  <c r="AC94" i="11"/>
  <c r="D62" i="3"/>
  <c r="AC19" i="11"/>
  <c r="D61" i="3"/>
  <c r="AC113" i="11"/>
  <c r="D60" i="3"/>
  <c r="AC93" i="11"/>
  <c r="D59" i="3"/>
  <c r="AC46" i="11"/>
  <c r="D58" i="3"/>
  <c r="AC112" i="11"/>
  <c r="D57" i="3"/>
  <c r="AC18" i="11"/>
  <c r="D56" i="3"/>
  <c r="AC92" i="11"/>
  <c r="D55" i="3"/>
  <c r="AC90" i="11"/>
  <c r="D54" i="3"/>
  <c r="AC16" i="11"/>
  <c r="D53" i="3"/>
  <c r="AC45" i="11"/>
  <c r="D52" i="3"/>
  <c r="AC88" i="11"/>
  <c r="D51" i="3"/>
  <c r="AC15" i="11"/>
  <c r="D50" i="3"/>
  <c r="AC111" i="11"/>
  <c r="D49" i="3"/>
  <c r="AC14" i="11"/>
  <c r="D48" i="3"/>
  <c r="AC87" i="11"/>
  <c r="D47" i="3"/>
  <c r="AC44" i="11"/>
  <c r="D46" i="3"/>
  <c r="AC67" i="11"/>
  <c r="D45" i="3"/>
  <c r="AC13" i="11"/>
  <c r="D44" i="3"/>
  <c r="AC43" i="11"/>
  <c r="D43" i="3"/>
  <c r="AC12" i="11"/>
  <c r="D42" i="3"/>
  <c r="AC66" i="11"/>
  <c r="D41" i="3"/>
  <c r="AC65" i="11"/>
  <c r="D40" i="3"/>
  <c r="AC86" i="11"/>
  <c r="D39" i="3"/>
  <c r="AC110" i="11"/>
  <c r="D38" i="3"/>
  <c r="AC108" i="11"/>
  <c r="D37" i="3"/>
  <c r="AC107" i="11"/>
  <c r="D36" i="3"/>
  <c r="AC42" i="11"/>
  <c r="D35" i="3"/>
  <c r="AC41" i="11"/>
  <c r="D34" i="3"/>
  <c r="AC11" i="11"/>
  <c r="D33" i="3"/>
  <c r="AC40" i="11"/>
  <c r="D32" i="3"/>
  <c r="AC64" i="11"/>
  <c r="D31" i="3"/>
  <c r="AC39" i="11"/>
  <c r="D30" i="3"/>
  <c r="AC85" i="11"/>
  <c r="D29" i="3"/>
  <c r="AC106" i="11"/>
  <c r="D28" i="3"/>
  <c r="AC105" i="11"/>
  <c r="D27" i="3"/>
  <c r="AC10" i="11"/>
  <c r="D26" i="3"/>
  <c r="AC9" i="11"/>
  <c r="D25" i="3"/>
  <c r="AC8" i="11"/>
  <c r="D24" i="3"/>
  <c r="AC84" i="11"/>
  <c r="D23" i="3"/>
  <c r="AC38" i="11"/>
  <c r="D22" i="3"/>
  <c r="AC37" i="11"/>
  <c r="D21" i="3"/>
  <c r="AC36" i="11"/>
  <c r="D20" i="3"/>
  <c r="AC63" i="11"/>
  <c r="D19" i="3"/>
  <c r="D18" i="3"/>
  <c r="AC83" i="11"/>
  <c r="D17" i="3"/>
  <c r="AC62" i="11"/>
  <c r="D16" i="3"/>
  <c r="AC82" i="11"/>
  <c r="D15" i="3"/>
  <c r="AC104" i="11"/>
  <c r="X14" i="3"/>
  <c r="Y14" i="3" s="1"/>
  <c r="X7" i="3"/>
  <c r="Y7" i="3" s="1"/>
  <c r="X11" i="3"/>
  <c r="Y11" i="3" s="1"/>
  <c r="B34" i="3"/>
  <c r="B121" i="3"/>
  <c r="B105" i="3"/>
  <c r="B89" i="3"/>
  <c r="B81" i="3"/>
  <c r="B73" i="3"/>
  <c r="B57" i="3"/>
  <c r="B49" i="3"/>
  <c r="B41" i="3"/>
  <c r="B24" i="3"/>
  <c r="B16" i="3"/>
  <c r="B8" i="3"/>
  <c r="L10" i="11"/>
  <c r="B118" i="3"/>
  <c r="B110" i="3"/>
  <c r="B102" i="3"/>
  <c r="B94" i="3"/>
  <c r="B86" i="3"/>
  <c r="B78" i="3"/>
  <c r="B70" i="3"/>
  <c r="B62" i="3"/>
  <c r="B54" i="3"/>
  <c r="B46" i="3"/>
  <c r="B38" i="3"/>
  <c r="K10" i="11"/>
  <c r="K8" i="11" s="1"/>
  <c r="B117" i="3"/>
  <c r="B109" i="3"/>
  <c r="B101" i="3"/>
  <c r="B93" i="3"/>
  <c r="B85" i="3"/>
  <c r="B77" i="3"/>
  <c r="B69" i="3"/>
  <c r="B61" i="3"/>
  <c r="B53" i="3"/>
  <c r="B45" i="3"/>
  <c r="B37" i="3"/>
  <c r="B29" i="3"/>
  <c r="B21" i="3"/>
  <c r="B13" i="3"/>
  <c r="R126" i="3" l="1"/>
  <c r="R130" i="3" s="1"/>
  <c r="J130" i="3"/>
  <c r="M126" i="3"/>
  <c r="M130" i="3" s="1"/>
  <c r="C5" i="3"/>
  <c r="L5" i="3" s="1"/>
  <c r="Z11" i="3"/>
  <c r="Z7" i="3"/>
  <c r="Z12" i="3"/>
  <c r="Z8" i="3"/>
  <c r="Z14" i="3"/>
  <c r="Z6" i="3"/>
  <c r="G124" i="3"/>
  <c r="J124" i="3" s="1"/>
  <c r="AC254" i="11"/>
  <c r="F124" i="3"/>
  <c r="I124" i="3" s="1"/>
  <c r="AB254" i="11"/>
  <c r="Y9" i="3"/>
  <c r="D5" i="3"/>
  <c r="M5" i="3" s="1"/>
  <c r="F16" i="3"/>
  <c r="I16" i="3" s="1"/>
  <c r="AB212" i="11"/>
  <c r="F20" i="3"/>
  <c r="I20" i="3" s="1"/>
  <c r="AB193" i="11"/>
  <c r="F24" i="3"/>
  <c r="I24" i="3" s="1"/>
  <c r="AB214" i="11"/>
  <c r="F28" i="3"/>
  <c r="I28" i="3" s="1"/>
  <c r="AB235" i="11"/>
  <c r="F32" i="3"/>
  <c r="I32" i="3" s="1"/>
  <c r="AB194" i="11"/>
  <c r="F36" i="3"/>
  <c r="I36" i="3" s="1"/>
  <c r="AB172" i="11"/>
  <c r="F40" i="3"/>
  <c r="I40" i="3" s="1"/>
  <c r="AB216" i="11"/>
  <c r="AB173" i="11"/>
  <c r="F44" i="3"/>
  <c r="I44" i="3" s="1"/>
  <c r="F48" i="3"/>
  <c r="I48" i="3" s="1"/>
  <c r="AB217" i="11"/>
  <c r="F52" i="3"/>
  <c r="I52" i="3" s="1"/>
  <c r="AB218" i="11"/>
  <c r="AB222" i="11"/>
  <c r="F56" i="3"/>
  <c r="I56" i="3" s="1"/>
  <c r="F60" i="3"/>
  <c r="I60" i="3" s="1"/>
  <c r="AB223" i="11"/>
  <c r="F64" i="3"/>
  <c r="I64" i="3" s="1"/>
  <c r="AB198" i="11"/>
  <c r="F68" i="3"/>
  <c r="I68" i="3" s="1"/>
  <c r="AB153" i="11"/>
  <c r="F72" i="3"/>
  <c r="I72" i="3" s="1"/>
  <c r="AB245" i="11"/>
  <c r="F76" i="3"/>
  <c r="I76" i="3" s="1"/>
  <c r="AB155" i="11"/>
  <c r="F80" i="3"/>
  <c r="I80" i="3" s="1"/>
  <c r="AB201" i="11"/>
  <c r="F84" i="3"/>
  <c r="I84" i="3" s="1"/>
  <c r="AB182" i="11"/>
  <c r="AB203" i="11"/>
  <c r="F88" i="3"/>
  <c r="I88" i="3" s="1"/>
  <c r="F92" i="3"/>
  <c r="I92" i="3" s="1"/>
  <c r="AB249" i="11"/>
  <c r="F96" i="3"/>
  <c r="I96" i="3" s="1"/>
  <c r="AB250" i="11"/>
  <c r="F100" i="3"/>
  <c r="I100" i="3" s="1"/>
  <c r="AB229" i="11"/>
  <c r="F104" i="3"/>
  <c r="I104" i="3" s="1"/>
  <c r="AB162" i="11"/>
  <c r="F108" i="3"/>
  <c r="I108" i="3" s="1"/>
  <c r="AB186" i="11"/>
  <c r="F112" i="3"/>
  <c r="I112" i="3" s="1"/>
  <c r="AB231" i="11"/>
  <c r="F117" i="3"/>
  <c r="I117" i="3" s="1"/>
  <c r="AB251" i="11"/>
  <c r="AB233" i="11"/>
  <c r="F121" i="3"/>
  <c r="I121" i="3" s="1"/>
  <c r="AC213" i="11"/>
  <c r="G18" i="3"/>
  <c r="J18" i="3" s="1"/>
  <c r="G22" i="3"/>
  <c r="J22" i="3" s="1"/>
  <c r="AC167" i="11"/>
  <c r="G26" i="3"/>
  <c r="J26" i="3" s="1"/>
  <c r="AC139" i="11"/>
  <c r="G30" i="3"/>
  <c r="J30" i="3" s="1"/>
  <c r="AC215" i="11"/>
  <c r="AC141" i="11"/>
  <c r="G34" i="3"/>
  <c r="J34" i="3" s="1"/>
  <c r="G38" i="3"/>
  <c r="J38" i="3" s="1"/>
  <c r="AC238" i="11"/>
  <c r="G42" i="3"/>
  <c r="J42" i="3" s="1"/>
  <c r="AC196" i="11"/>
  <c r="AC197" i="11"/>
  <c r="G46" i="3"/>
  <c r="J46" i="3" s="1"/>
  <c r="G50" i="3"/>
  <c r="J50" i="3" s="1"/>
  <c r="AC241" i="11"/>
  <c r="G54" i="3"/>
  <c r="J54" i="3" s="1"/>
  <c r="AC146" i="11"/>
  <c r="G58" i="3"/>
  <c r="J58" i="3" s="1"/>
  <c r="AC242" i="11"/>
  <c r="G62" i="3"/>
  <c r="J62" i="3" s="1"/>
  <c r="AC149" i="11"/>
  <c r="G66" i="3"/>
  <c r="J66" i="3" s="1"/>
  <c r="AC151" i="11"/>
  <c r="G70" i="3"/>
  <c r="J70" i="3" s="1"/>
  <c r="AC244" i="11"/>
  <c r="G74" i="3"/>
  <c r="J74" i="3" s="1"/>
  <c r="AC180" i="11"/>
  <c r="G78" i="3"/>
  <c r="J78" i="3" s="1"/>
  <c r="AC181" i="11"/>
  <c r="G82" i="3"/>
  <c r="J82" i="3" s="1"/>
  <c r="AC157" i="11"/>
  <c r="G86" i="3"/>
  <c r="J86" i="3" s="1"/>
  <c r="AC227" i="11"/>
  <c r="G90" i="3"/>
  <c r="J90" i="3" s="1"/>
  <c r="AC184" i="11"/>
  <c r="G94" i="3"/>
  <c r="J94" i="3" s="1"/>
  <c r="AC158" i="11"/>
  <c r="G98" i="3"/>
  <c r="J98" i="3" s="1"/>
  <c r="AC185" i="11"/>
  <c r="AC206" i="11"/>
  <c r="G102" i="3"/>
  <c r="J102" i="3" s="1"/>
  <c r="G106" i="3"/>
  <c r="J106" i="3" s="1"/>
  <c r="AC230" i="11"/>
  <c r="G110" i="3"/>
  <c r="J110" i="3" s="1"/>
  <c r="AC187" i="11"/>
  <c r="G114" i="3"/>
  <c r="J114" i="3" s="1"/>
  <c r="AC209" i="11"/>
  <c r="G118" i="3"/>
  <c r="J118" i="3" s="1"/>
  <c r="AC191" i="11"/>
  <c r="G122" i="3"/>
  <c r="J122" i="3" s="1"/>
  <c r="AC252" i="11"/>
  <c r="AB192" i="11"/>
  <c r="F17" i="3"/>
  <c r="I17" i="3" s="1"/>
  <c r="F21" i="3"/>
  <c r="I21" i="3" s="1"/>
  <c r="AB166" i="11"/>
  <c r="F25" i="3"/>
  <c r="I25" i="3" s="1"/>
  <c r="AB138" i="11"/>
  <c r="F29" i="3"/>
  <c r="I29" i="3" s="1"/>
  <c r="AB236" i="11"/>
  <c r="F33" i="3"/>
  <c r="I33" i="3" s="1"/>
  <c r="AB170" i="11"/>
  <c r="F37" i="3"/>
  <c r="I37" i="3" s="1"/>
  <c r="AB237" i="11"/>
  <c r="F41" i="3"/>
  <c r="I41" i="3" s="1"/>
  <c r="AB195" i="11"/>
  <c r="F45" i="3"/>
  <c r="I45" i="3" s="1"/>
  <c r="AB143" i="11"/>
  <c r="F49" i="3"/>
  <c r="I49" i="3" s="1"/>
  <c r="AB144" i="11"/>
  <c r="F53" i="3"/>
  <c r="I53" i="3" s="1"/>
  <c r="AB175" i="11"/>
  <c r="F57" i="3"/>
  <c r="I57" i="3" s="1"/>
  <c r="AB148" i="11"/>
  <c r="F61" i="3"/>
  <c r="I61" i="3" s="1"/>
  <c r="AB243" i="11"/>
  <c r="F65" i="3"/>
  <c r="I65" i="3" s="1"/>
  <c r="AB150" i="11"/>
  <c r="AB177" i="11"/>
  <c r="F69" i="3"/>
  <c r="I69" i="3" s="1"/>
  <c r="F73" i="3"/>
  <c r="I73" i="3" s="1"/>
  <c r="AB179" i="11"/>
  <c r="AB200" i="11"/>
  <c r="F77" i="3"/>
  <c r="I77" i="3" s="1"/>
  <c r="F81" i="3"/>
  <c r="I81" i="3" s="1"/>
  <c r="AB156" i="11"/>
  <c r="AB202" i="11"/>
  <c r="F85" i="3"/>
  <c r="I85" i="3" s="1"/>
  <c r="F89" i="3"/>
  <c r="I89" i="3" s="1"/>
  <c r="AB183" i="11"/>
  <c r="AB204" i="11"/>
  <c r="F93" i="3"/>
  <c r="I93" i="3" s="1"/>
  <c r="F97" i="3"/>
  <c r="I97" i="3" s="1"/>
  <c r="AB228" i="11"/>
  <c r="AB160" i="11"/>
  <c r="F101" i="3"/>
  <c r="I101" i="3" s="1"/>
  <c r="F105" i="3"/>
  <c r="I105" i="3" s="1"/>
  <c r="AB163" i="11"/>
  <c r="F109" i="3"/>
  <c r="I109" i="3" s="1"/>
  <c r="AB164" i="11"/>
  <c r="AB209" i="11"/>
  <c r="F114" i="3"/>
  <c r="I114" i="3" s="1"/>
  <c r="F118" i="3"/>
  <c r="I118" i="3" s="1"/>
  <c r="AB191" i="11"/>
  <c r="F122" i="3"/>
  <c r="I122" i="3" s="1"/>
  <c r="AB252" i="11"/>
  <c r="G15" i="3"/>
  <c r="J15" i="3" s="1"/>
  <c r="AC234" i="11"/>
  <c r="G19" i="3"/>
  <c r="J19" i="3" s="1"/>
  <c r="AC137" i="11"/>
  <c r="G23" i="3"/>
  <c r="J23" i="3" s="1"/>
  <c r="AC168" i="11"/>
  <c r="G27" i="3"/>
  <c r="J27" i="3" s="1"/>
  <c r="AC140" i="11"/>
  <c r="G31" i="3"/>
  <c r="J31" i="3" s="1"/>
  <c r="AC169" i="11"/>
  <c r="G35" i="3"/>
  <c r="J35" i="3" s="1"/>
  <c r="AC171" i="11"/>
  <c r="G39" i="3"/>
  <c r="J39" i="3" s="1"/>
  <c r="AC240" i="11"/>
  <c r="AC142" i="11"/>
  <c r="G43" i="3"/>
  <c r="J43" i="3" s="1"/>
  <c r="G47" i="3"/>
  <c r="J47" i="3" s="1"/>
  <c r="AC174" i="11"/>
  <c r="AC145" i="11"/>
  <c r="G51" i="3"/>
  <c r="J51" i="3" s="1"/>
  <c r="AC220" i="11"/>
  <c r="G55" i="3"/>
  <c r="J55" i="3" s="1"/>
  <c r="G59" i="3"/>
  <c r="J59" i="3" s="1"/>
  <c r="AC176" i="11"/>
  <c r="G63" i="3"/>
  <c r="J63" i="3" s="1"/>
  <c r="AC224" i="11"/>
  <c r="AC152" i="11"/>
  <c r="G67" i="3"/>
  <c r="J67" i="3" s="1"/>
  <c r="G71" i="3"/>
  <c r="J71" i="3" s="1"/>
  <c r="AC178" i="11"/>
  <c r="G75" i="3"/>
  <c r="J75" i="3" s="1"/>
  <c r="AC154" i="11"/>
  <c r="G79" i="3"/>
  <c r="J79" i="3" s="1"/>
  <c r="AC225" i="11"/>
  <c r="G83" i="3"/>
  <c r="J83" i="3" s="1"/>
  <c r="AC226" i="11"/>
  <c r="G87" i="3"/>
  <c r="J87" i="3" s="1"/>
  <c r="AC246" i="11"/>
  <c r="G91" i="3"/>
  <c r="J91" i="3" s="1"/>
  <c r="AC248" i="11"/>
  <c r="G95" i="3"/>
  <c r="J95" i="3" s="1"/>
  <c r="AC205" i="11"/>
  <c r="G99" i="3"/>
  <c r="J99" i="3" s="1"/>
  <c r="AC159" i="11"/>
  <c r="G103" i="3"/>
  <c r="J103" i="3" s="1"/>
  <c r="AC161" i="11"/>
  <c r="G107" i="3"/>
  <c r="J107" i="3" s="1"/>
  <c r="AC207" i="11"/>
  <c r="AC208" i="11"/>
  <c r="G111" i="3"/>
  <c r="J111" i="3" s="1"/>
  <c r="G115" i="3"/>
  <c r="J115" i="3" s="1"/>
  <c r="AC188" i="11"/>
  <c r="G119" i="3"/>
  <c r="J119" i="3" s="1"/>
  <c r="AC232" i="11"/>
  <c r="G123" i="3"/>
  <c r="J123" i="3" s="1"/>
  <c r="AC253" i="11"/>
  <c r="F18" i="3"/>
  <c r="I18" i="3" s="1"/>
  <c r="AB213" i="11"/>
  <c r="F22" i="3"/>
  <c r="I22" i="3" s="1"/>
  <c r="AB167" i="11"/>
  <c r="F26" i="3"/>
  <c r="I26" i="3" s="1"/>
  <c r="AB139" i="11"/>
  <c r="F30" i="3"/>
  <c r="I30" i="3" s="1"/>
  <c r="AB215" i="11"/>
  <c r="F34" i="3"/>
  <c r="I34" i="3" s="1"/>
  <c r="AB141" i="11"/>
  <c r="AB238" i="11"/>
  <c r="F38" i="3"/>
  <c r="I38" i="3" s="1"/>
  <c r="AB196" i="11"/>
  <c r="F42" i="3"/>
  <c r="I42" i="3" s="1"/>
  <c r="F46" i="3"/>
  <c r="I46" i="3" s="1"/>
  <c r="AB197" i="11"/>
  <c r="F50" i="3"/>
  <c r="I50" i="3" s="1"/>
  <c r="AB241" i="11"/>
  <c r="AB146" i="11"/>
  <c r="F54" i="3"/>
  <c r="I54" i="3" s="1"/>
  <c r="F58" i="3"/>
  <c r="I58" i="3" s="1"/>
  <c r="AB242" i="11"/>
  <c r="F62" i="3"/>
  <c r="I62" i="3" s="1"/>
  <c r="AB149" i="11"/>
  <c r="F66" i="3"/>
  <c r="I66" i="3" s="1"/>
  <c r="AB151" i="11"/>
  <c r="F70" i="3"/>
  <c r="I70" i="3" s="1"/>
  <c r="AB244" i="11"/>
  <c r="F74" i="3"/>
  <c r="I74" i="3" s="1"/>
  <c r="AB180" i="11"/>
  <c r="F78" i="3"/>
  <c r="I78" i="3" s="1"/>
  <c r="AB181" i="11"/>
  <c r="F82" i="3"/>
  <c r="I82" i="3" s="1"/>
  <c r="AB157" i="11"/>
  <c r="F86" i="3"/>
  <c r="I86" i="3" s="1"/>
  <c r="AB227" i="11"/>
  <c r="F90" i="3"/>
  <c r="I90" i="3" s="1"/>
  <c r="AB184" i="11"/>
  <c r="AB158" i="11"/>
  <c r="F94" i="3"/>
  <c r="I94" i="3" s="1"/>
  <c r="F98" i="3"/>
  <c r="I98" i="3" s="1"/>
  <c r="AB185" i="11"/>
  <c r="F102" i="3"/>
  <c r="I102" i="3" s="1"/>
  <c r="AB206" i="11"/>
  <c r="F106" i="3"/>
  <c r="I106" i="3" s="1"/>
  <c r="AB230" i="11"/>
  <c r="F110" i="3"/>
  <c r="I110" i="3" s="1"/>
  <c r="AB187" i="11"/>
  <c r="F115" i="3"/>
  <c r="I115" i="3" s="1"/>
  <c r="AB188" i="11"/>
  <c r="F119" i="3"/>
  <c r="I119" i="3" s="1"/>
  <c r="AB232" i="11"/>
  <c r="F123" i="3"/>
  <c r="I123" i="3" s="1"/>
  <c r="AB253" i="11"/>
  <c r="G16" i="3"/>
  <c r="J16" i="3" s="1"/>
  <c r="AC212" i="11"/>
  <c r="G20" i="3"/>
  <c r="J20" i="3" s="1"/>
  <c r="AC193" i="11"/>
  <c r="G24" i="3"/>
  <c r="J24" i="3" s="1"/>
  <c r="AC214" i="11"/>
  <c r="G28" i="3"/>
  <c r="J28" i="3" s="1"/>
  <c r="AC235" i="11"/>
  <c r="G32" i="3"/>
  <c r="J32" i="3" s="1"/>
  <c r="AC194" i="11"/>
  <c r="G36" i="3"/>
  <c r="J36" i="3" s="1"/>
  <c r="AC172" i="11"/>
  <c r="G40" i="3"/>
  <c r="J40" i="3" s="1"/>
  <c r="AC216" i="11"/>
  <c r="G44" i="3"/>
  <c r="J44" i="3" s="1"/>
  <c r="AC173" i="11"/>
  <c r="G48" i="3"/>
  <c r="J48" i="3" s="1"/>
  <c r="AC217" i="11"/>
  <c r="G52" i="3"/>
  <c r="J52" i="3" s="1"/>
  <c r="AC218" i="11"/>
  <c r="G56" i="3"/>
  <c r="J56" i="3" s="1"/>
  <c r="AC222" i="11"/>
  <c r="G60" i="3"/>
  <c r="J60" i="3" s="1"/>
  <c r="AC223" i="11"/>
  <c r="G64" i="3"/>
  <c r="J64" i="3" s="1"/>
  <c r="AC198" i="11"/>
  <c r="G68" i="3"/>
  <c r="J68" i="3" s="1"/>
  <c r="AC153" i="11"/>
  <c r="G72" i="3"/>
  <c r="J72" i="3" s="1"/>
  <c r="AC245" i="11"/>
  <c r="AC155" i="11"/>
  <c r="G76" i="3"/>
  <c r="J76" i="3" s="1"/>
  <c r="G80" i="3"/>
  <c r="J80" i="3" s="1"/>
  <c r="AC201" i="11"/>
  <c r="AC182" i="11"/>
  <c r="G84" i="3"/>
  <c r="J84" i="3" s="1"/>
  <c r="G88" i="3"/>
  <c r="J88" i="3" s="1"/>
  <c r="AC203" i="11"/>
  <c r="G92" i="3"/>
  <c r="J92" i="3" s="1"/>
  <c r="AC249" i="11"/>
  <c r="AC250" i="11"/>
  <c r="G96" i="3"/>
  <c r="J96" i="3" s="1"/>
  <c r="G100" i="3"/>
  <c r="J100" i="3" s="1"/>
  <c r="AC229" i="11"/>
  <c r="G104" i="3"/>
  <c r="J104" i="3" s="1"/>
  <c r="AC162" i="11"/>
  <c r="G108" i="3"/>
  <c r="J108" i="3" s="1"/>
  <c r="AC186" i="11"/>
  <c r="AC231" i="11"/>
  <c r="G112" i="3"/>
  <c r="J112" i="3" s="1"/>
  <c r="G116" i="3"/>
  <c r="J116" i="3" s="1"/>
  <c r="AC190" i="11"/>
  <c r="G120" i="3"/>
  <c r="J120" i="3" s="1"/>
  <c r="AC211" i="11"/>
  <c r="M124" i="3"/>
  <c r="F15" i="3"/>
  <c r="I15" i="3" s="1"/>
  <c r="AB234" i="11"/>
  <c r="F19" i="3"/>
  <c r="I19" i="3" s="1"/>
  <c r="AB137" i="11"/>
  <c r="AB168" i="11"/>
  <c r="F23" i="3"/>
  <c r="I23" i="3" s="1"/>
  <c r="F27" i="3"/>
  <c r="I27" i="3" s="1"/>
  <c r="AB140" i="11"/>
  <c r="AB169" i="11"/>
  <c r="F31" i="3"/>
  <c r="I31" i="3" s="1"/>
  <c r="F35" i="3"/>
  <c r="I35" i="3" s="1"/>
  <c r="AB171" i="11"/>
  <c r="F39" i="3"/>
  <c r="I39" i="3" s="1"/>
  <c r="AB240" i="11"/>
  <c r="F43" i="3"/>
  <c r="I43" i="3" s="1"/>
  <c r="AB142" i="11"/>
  <c r="F47" i="3"/>
  <c r="I47" i="3" s="1"/>
  <c r="AB174" i="11"/>
  <c r="F51" i="3"/>
  <c r="I51" i="3" s="1"/>
  <c r="AB145" i="11"/>
  <c r="F55" i="3"/>
  <c r="I55" i="3" s="1"/>
  <c r="AB220" i="11"/>
  <c r="F59" i="3"/>
  <c r="I59" i="3" s="1"/>
  <c r="AB176" i="11"/>
  <c r="F63" i="3"/>
  <c r="I63" i="3" s="1"/>
  <c r="AB224" i="11"/>
  <c r="F67" i="3"/>
  <c r="I67" i="3" s="1"/>
  <c r="AB152" i="11"/>
  <c r="F71" i="3"/>
  <c r="I71" i="3" s="1"/>
  <c r="AB178" i="11"/>
  <c r="F75" i="3"/>
  <c r="I75" i="3" s="1"/>
  <c r="AB154" i="11"/>
  <c r="F79" i="3"/>
  <c r="I79" i="3" s="1"/>
  <c r="AB225" i="11"/>
  <c r="F83" i="3"/>
  <c r="I83" i="3" s="1"/>
  <c r="AB226" i="11"/>
  <c r="F87" i="3"/>
  <c r="I87" i="3" s="1"/>
  <c r="AB246" i="11"/>
  <c r="F91" i="3"/>
  <c r="I91" i="3" s="1"/>
  <c r="AB248" i="11"/>
  <c r="F95" i="3"/>
  <c r="I95" i="3" s="1"/>
  <c r="AB205" i="11"/>
  <c r="F99" i="3"/>
  <c r="I99" i="3" s="1"/>
  <c r="AB159" i="11"/>
  <c r="F103" i="3"/>
  <c r="I103" i="3" s="1"/>
  <c r="AB161" i="11"/>
  <c r="F107" i="3"/>
  <c r="I107" i="3" s="1"/>
  <c r="AB207" i="11"/>
  <c r="F111" i="3"/>
  <c r="I111" i="3" s="1"/>
  <c r="AB208" i="11"/>
  <c r="F116" i="3"/>
  <c r="I116" i="3" s="1"/>
  <c r="AB190" i="11"/>
  <c r="F120" i="3"/>
  <c r="I120" i="3" s="1"/>
  <c r="AB211" i="11"/>
  <c r="L124" i="3"/>
  <c r="Q124" i="3"/>
  <c r="AC192" i="11"/>
  <c r="G17" i="3"/>
  <c r="J17" i="3" s="1"/>
  <c r="AC166" i="11"/>
  <c r="G21" i="3"/>
  <c r="J21" i="3" s="1"/>
  <c r="G25" i="3"/>
  <c r="J25" i="3" s="1"/>
  <c r="AC138" i="11"/>
  <c r="G29" i="3"/>
  <c r="J29" i="3" s="1"/>
  <c r="AC236" i="11"/>
  <c r="AC170" i="11"/>
  <c r="G33" i="3"/>
  <c r="J33" i="3" s="1"/>
  <c r="G37" i="3"/>
  <c r="J37" i="3" s="1"/>
  <c r="AC237" i="11"/>
  <c r="G41" i="3"/>
  <c r="J41" i="3" s="1"/>
  <c r="AC195" i="11"/>
  <c r="G45" i="3"/>
  <c r="J45" i="3" s="1"/>
  <c r="AC143" i="11"/>
  <c r="G49" i="3"/>
  <c r="J49" i="3" s="1"/>
  <c r="AC144" i="11"/>
  <c r="AC175" i="11"/>
  <c r="G53" i="3"/>
  <c r="J53" i="3" s="1"/>
  <c r="G57" i="3"/>
  <c r="J57" i="3" s="1"/>
  <c r="AC148" i="11"/>
  <c r="G61" i="3"/>
  <c r="J61" i="3" s="1"/>
  <c r="AC243" i="11"/>
  <c r="G65" i="3"/>
  <c r="J65" i="3" s="1"/>
  <c r="AC150" i="11"/>
  <c r="G69" i="3"/>
  <c r="J69" i="3" s="1"/>
  <c r="AC177" i="11"/>
  <c r="G73" i="3"/>
  <c r="J73" i="3" s="1"/>
  <c r="AC179" i="11"/>
  <c r="G77" i="3"/>
  <c r="J77" i="3" s="1"/>
  <c r="AC200" i="11"/>
  <c r="G81" i="3"/>
  <c r="J81" i="3" s="1"/>
  <c r="AC156" i="11"/>
  <c r="G85" i="3"/>
  <c r="J85" i="3" s="1"/>
  <c r="AC202" i="11"/>
  <c r="AC183" i="11"/>
  <c r="G89" i="3"/>
  <c r="J89" i="3" s="1"/>
  <c r="G93" i="3"/>
  <c r="J93" i="3" s="1"/>
  <c r="AC204" i="11"/>
  <c r="G97" i="3"/>
  <c r="J97" i="3" s="1"/>
  <c r="AC228" i="11"/>
  <c r="G101" i="3"/>
  <c r="J101" i="3" s="1"/>
  <c r="AC160" i="11"/>
  <c r="G105" i="3"/>
  <c r="J105" i="3" s="1"/>
  <c r="AC163" i="11"/>
  <c r="G109" i="3"/>
  <c r="J109" i="3" s="1"/>
  <c r="AC164" i="11"/>
  <c r="G113" i="3"/>
  <c r="J113" i="3" s="1"/>
  <c r="AC165" i="11"/>
  <c r="AC251" i="11"/>
  <c r="G117" i="3"/>
  <c r="J117" i="3" s="1"/>
  <c r="G121" i="3"/>
  <c r="J121" i="3" s="1"/>
  <c r="AC233" i="11"/>
  <c r="B5" i="3"/>
  <c r="K5" i="3" s="1"/>
  <c r="C21" i="6"/>
  <c r="F101" i="6"/>
  <c r="M101" i="6" s="1"/>
  <c r="N101" i="6" s="1"/>
  <c r="C101" i="6"/>
  <c r="L101" i="6" s="1"/>
  <c r="N94" i="3" s="1"/>
  <c r="C89" i="6"/>
  <c r="N89" i="6" s="1"/>
  <c r="D65" i="6"/>
  <c r="C59" i="6"/>
  <c r="N59" i="6" s="1"/>
  <c r="C35" i="6"/>
  <c r="N35" i="6" s="1"/>
  <c r="C57" i="6"/>
  <c r="N57" i="6" s="1"/>
  <c r="C117" i="6"/>
  <c r="N117" i="6" s="1"/>
  <c r="C129" i="6"/>
  <c r="N129" i="6" s="1"/>
  <c r="C31" i="6"/>
  <c r="N31" i="6" s="1"/>
  <c r="C103" i="6"/>
  <c r="N103" i="6" s="1"/>
  <c r="C91" i="6"/>
  <c r="N91" i="6" s="1"/>
  <c r="C78" i="6"/>
  <c r="F7" i="6"/>
  <c r="M7" i="6" s="1"/>
  <c r="N10" i="3" s="1"/>
  <c r="C18" i="6"/>
  <c r="N18" i="6" s="1"/>
  <c r="C46" i="6"/>
  <c r="N46" i="6" s="1"/>
  <c r="C49" i="6"/>
  <c r="L49" i="6" s="1"/>
  <c r="C52" i="6"/>
  <c r="N52" i="6" s="1"/>
  <c r="C70" i="6"/>
  <c r="C30" i="6"/>
  <c r="N30" i="6" s="1"/>
  <c r="M17" i="6"/>
  <c r="C17" i="6"/>
  <c r="C99" i="6"/>
  <c r="N99" i="6" s="1"/>
  <c r="C113" i="6"/>
  <c r="N113" i="6" s="1"/>
  <c r="L42" i="3" l="1"/>
  <c r="M55" i="3"/>
  <c r="L69" i="3"/>
  <c r="M18" i="3"/>
  <c r="M48" i="3"/>
  <c r="L78" i="3"/>
  <c r="M108" i="3"/>
  <c r="M92" i="3"/>
  <c r="L106" i="3"/>
  <c r="L90" i="3"/>
  <c r="L74" i="3"/>
  <c r="M103" i="3"/>
  <c r="M23" i="3"/>
  <c r="L118" i="3"/>
  <c r="L53" i="3"/>
  <c r="M98" i="3"/>
  <c r="M82" i="3"/>
  <c r="L108" i="3"/>
  <c r="L92" i="3"/>
  <c r="L28" i="3"/>
  <c r="M65" i="3"/>
  <c r="L15" i="3"/>
  <c r="U124" i="3"/>
  <c r="M28" i="3"/>
  <c r="M61" i="3"/>
  <c r="M45" i="3"/>
  <c r="M29" i="3"/>
  <c r="T124" i="3"/>
  <c r="W124" i="3" s="1"/>
  <c r="L59" i="3"/>
  <c r="L27" i="3"/>
  <c r="M16" i="3"/>
  <c r="L62" i="3"/>
  <c r="L22" i="3"/>
  <c r="M115" i="3"/>
  <c r="M99" i="3"/>
  <c r="M19" i="3"/>
  <c r="L65" i="3"/>
  <c r="L33" i="3"/>
  <c r="M110" i="3"/>
  <c r="M94" i="3"/>
  <c r="M78" i="3"/>
  <c r="M62" i="3"/>
  <c r="M89" i="3"/>
  <c r="L23" i="3"/>
  <c r="M73" i="3"/>
  <c r="L103" i="3"/>
  <c r="L55" i="3"/>
  <c r="M84" i="3"/>
  <c r="M53" i="3"/>
  <c r="M68" i="3"/>
  <c r="M36" i="3"/>
  <c r="L115" i="3"/>
  <c r="L98" i="3"/>
  <c r="L82" i="3"/>
  <c r="M31" i="3"/>
  <c r="L45" i="3"/>
  <c r="L29" i="3"/>
  <c r="M106" i="3"/>
  <c r="M74" i="3"/>
  <c r="M42" i="3"/>
  <c r="L84" i="3"/>
  <c r="L68" i="3"/>
  <c r="L36" i="3"/>
  <c r="R124" i="3"/>
  <c r="L31" i="3"/>
  <c r="L18" i="3"/>
  <c r="M15" i="3"/>
  <c r="L61" i="3"/>
  <c r="M122" i="3"/>
  <c r="M90" i="3"/>
  <c r="M69" i="3"/>
  <c r="L99" i="3"/>
  <c r="L19" i="3"/>
  <c r="M96" i="3"/>
  <c r="L94" i="3"/>
  <c r="M33" i="3"/>
  <c r="L110" i="3"/>
  <c r="M59" i="3"/>
  <c r="M27" i="3"/>
  <c r="L122" i="3"/>
  <c r="L89" i="3"/>
  <c r="L73" i="3"/>
  <c r="M118" i="3"/>
  <c r="M22" i="3"/>
  <c r="L96" i="3"/>
  <c r="L48" i="3"/>
  <c r="L16" i="3"/>
  <c r="L17" i="6"/>
  <c r="N15" i="3" s="1"/>
  <c r="R15" i="3" s="1"/>
  <c r="N17" i="6"/>
  <c r="L17" i="3"/>
  <c r="Q17" i="3"/>
  <c r="M113" i="3"/>
  <c r="R113" i="3"/>
  <c r="L120" i="3"/>
  <c r="Q120" i="3"/>
  <c r="L87" i="3"/>
  <c r="Q87" i="3"/>
  <c r="M80" i="3"/>
  <c r="R80" i="3"/>
  <c r="M32" i="3"/>
  <c r="R32" i="3"/>
  <c r="L66" i="3"/>
  <c r="Q66" i="3"/>
  <c r="M119" i="3"/>
  <c r="R119" i="3"/>
  <c r="M87" i="3"/>
  <c r="R87" i="3"/>
  <c r="R71" i="3"/>
  <c r="M71" i="3"/>
  <c r="M39" i="3"/>
  <c r="R39" i="3"/>
  <c r="Q109" i="3"/>
  <c r="L109" i="3"/>
  <c r="M58" i="3"/>
  <c r="R58" i="3"/>
  <c r="M26" i="3"/>
  <c r="R26" i="3"/>
  <c r="L121" i="3"/>
  <c r="Q121" i="3"/>
  <c r="L88" i="3"/>
  <c r="Q88" i="3"/>
  <c r="Q56" i="3"/>
  <c r="L56" i="3"/>
  <c r="M105" i="3"/>
  <c r="R105" i="3"/>
  <c r="M97" i="3"/>
  <c r="R97" i="3"/>
  <c r="M81" i="3"/>
  <c r="R81" i="3"/>
  <c r="M49" i="3"/>
  <c r="R49" i="3"/>
  <c r="L71" i="3"/>
  <c r="Q71" i="3"/>
  <c r="L39" i="3"/>
  <c r="Q39" i="3"/>
  <c r="M64" i="3"/>
  <c r="R64" i="3"/>
  <c r="L50" i="3"/>
  <c r="Q50" i="3"/>
  <c r="L34" i="3"/>
  <c r="Q34" i="3"/>
  <c r="AB135" i="11"/>
  <c r="M76" i="3"/>
  <c r="R76" i="3"/>
  <c r="M67" i="3"/>
  <c r="R67" i="3"/>
  <c r="M51" i="3"/>
  <c r="R51" i="3"/>
  <c r="AC135" i="11"/>
  <c r="R102" i="3"/>
  <c r="M102" i="3"/>
  <c r="L104" i="3"/>
  <c r="Q104" i="3"/>
  <c r="L72" i="3"/>
  <c r="Q72" i="3"/>
  <c r="Q40" i="3"/>
  <c r="L40" i="3"/>
  <c r="L24" i="3"/>
  <c r="Q24" i="3"/>
  <c r="M121" i="3"/>
  <c r="R121" i="3"/>
  <c r="M21" i="3"/>
  <c r="R21" i="3"/>
  <c r="M43" i="3"/>
  <c r="R43" i="3"/>
  <c r="L80" i="3"/>
  <c r="Q80" i="3"/>
  <c r="M93" i="3"/>
  <c r="R93" i="3"/>
  <c r="L116" i="3"/>
  <c r="Q116" i="3"/>
  <c r="L67" i="3"/>
  <c r="Q67" i="3"/>
  <c r="L35" i="3"/>
  <c r="Q35" i="3"/>
  <c r="M60" i="3"/>
  <c r="R60" i="3"/>
  <c r="L30" i="3"/>
  <c r="Q30" i="3"/>
  <c r="M83" i="3"/>
  <c r="R83" i="3"/>
  <c r="M35" i="3"/>
  <c r="R35" i="3"/>
  <c r="L105" i="3"/>
  <c r="Q105" i="3"/>
  <c r="L57" i="3"/>
  <c r="Q57" i="3"/>
  <c r="L41" i="3"/>
  <c r="Q41" i="3"/>
  <c r="L25" i="3"/>
  <c r="Q25" i="3"/>
  <c r="M86" i="3"/>
  <c r="R86" i="3"/>
  <c r="M70" i="3"/>
  <c r="R70" i="3"/>
  <c r="M54" i="3"/>
  <c r="R54" i="3"/>
  <c r="R38" i="3"/>
  <c r="M38" i="3"/>
  <c r="M117" i="3"/>
  <c r="R117" i="3"/>
  <c r="L114" i="3"/>
  <c r="Q114" i="3"/>
  <c r="L64" i="3"/>
  <c r="Q64" i="3"/>
  <c r="M109" i="3"/>
  <c r="R109" i="3"/>
  <c r="R77" i="3"/>
  <c r="M77" i="3"/>
  <c r="L83" i="3"/>
  <c r="Q83" i="3"/>
  <c r="L51" i="3"/>
  <c r="Q51" i="3"/>
  <c r="M44" i="3"/>
  <c r="R44" i="3"/>
  <c r="L46" i="3"/>
  <c r="Q46" i="3"/>
  <c r="M111" i="3"/>
  <c r="R111" i="3"/>
  <c r="L101" i="3"/>
  <c r="Q101" i="3"/>
  <c r="L85" i="3"/>
  <c r="Q85" i="3"/>
  <c r="M34" i="3"/>
  <c r="R34" i="3"/>
  <c r="L117" i="3"/>
  <c r="Q117" i="3"/>
  <c r="L100" i="3"/>
  <c r="Q100" i="3"/>
  <c r="L52" i="3"/>
  <c r="Q52" i="3"/>
  <c r="L20" i="3"/>
  <c r="Q20" i="3"/>
  <c r="M57" i="3"/>
  <c r="R57" i="3"/>
  <c r="M41" i="3"/>
  <c r="R41" i="3"/>
  <c r="M25" i="3"/>
  <c r="R25" i="3"/>
  <c r="L111" i="3"/>
  <c r="Q111" i="3"/>
  <c r="L95" i="3"/>
  <c r="Q95" i="3"/>
  <c r="L79" i="3"/>
  <c r="Q79" i="3"/>
  <c r="L63" i="3"/>
  <c r="Q63" i="3"/>
  <c r="L47" i="3"/>
  <c r="Q47" i="3"/>
  <c r="M120" i="3"/>
  <c r="R120" i="3"/>
  <c r="M104" i="3"/>
  <c r="R104" i="3"/>
  <c r="M88" i="3"/>
  <c r="R88" i="3"/>
  <c r="M72" i="3"/>
  <c r="R72" i="3"/>
  <c r="M56" i="3"/>
  <c r="R56" i="3"/>
  <c r="M40" i="3"/>
  <c r="R40" i="3"/>
  <c r="R24" i="3"/>
  <c r="M24" i="3"/>
  <c r="L123" i="3"/>
  <c r="Q123" i="3"/>
  <c r="L58" i="3"/>
  <c r="Q58" i="3"/>
  <c r="L26" i="3"/>
  <c r="Q26" i="3"/>
  <c r="M95" i="3"/>
  <c r="R95" i="3"/>
  <c r="M79" i="3"/>
  <c r="R79" i="3"/>
  <c r="M63" i="3"/>
  <c r="R63" i="3"/>
  <c r="M47" i="3"/>
  <c r="R47" i="3"/>
  <c r="L37" i="3"/>
  <c r="Q37" i="3"/>
  <c r="L21" i="3"/>
  <c r="Q21" i="3"/>
  <c r="R114" i="3"/>
  <c r="M114" i="3"/>
  <c r="M66" i="3"/>
  <c r="R66" i="3"/>
  <c r="M50" i="3"/>
  <c r="R50" i="3"/>
  <c r="L38" i="3"/>
  <c r="Q38" i="3"/>
  <c r="R46" i="3"/>
  <c r="M46" i="3"/>
  <c r="L32" i="3"/>
  <c r="Q32" i="3"/>
  <c r="M101" i="3"/>
  <c r="R101" i="3"/>
  <c r="M37" i="3"/>
  <c r="R37" i="3"/>
  <c r="L107" i="3"/>
  <c r="Q107" i="3"/>
  <c r="Q43" i="3"/>
  <c r="L43" i="3"/>
  <c r="M116" i="3"/>
  <c r="R116" i="3"/>
  <c r="M52" i="3"/>
  <c r="R52" i="3"/>
  <c r="M20" i="3"/>
  <c r="R20" i="3"/>
  <c r="L119" i="3"/>
  <c r="Q119" i="3"/>
  <c r="L86" i="3"/>
  <c r="Q86" i="3"/>
  <c r="M123" i="3"/>
  <c r="R123" i="3"/>
  <c r="M91" i="3"/>
  <c r="R91" i="3"/>
  <c r="M75" i="3"/>
  <c r="R75" i="3"/>
  <c r="L97" i="3"/>
  <c r="Q97" i="3"/>
  <c r="L81" i="3"/>
  <c r="Q81" i="3"/>
  <c r="L49" i="3"/>
  <c r="Q49" i="3"/>
  <c r="M30" i="3"/>
  <c r="R30" i="3"/>
  <c r="L44" i="3"/>
  <c r="Q44" i="3"/>
  <c r="L54" i="3"/>
  <c r="Q54" i="3"/>
  <c r="L112" i="3"/>
  <c r="Q112" i="3"/>
  <c r="M85" i="3"/>
  <c r="R85" i="3"/>
  <c r="L91" i="3"/>
  <c r="Q91" i="3"/>
  <c r="L75" i="3"/>
  <c r="Q75" i="3"/>
  <c r="M100" i="3"/>
  <c r="R100" i="3"/>
  <c r="L102" i="3"/>
  <c r="Q102" i="3"/>
  <c r="L70" i="3"/>
  <c r="Q70" i="3"/>
  <c r="M107" i="3"/>
  <c r="R107" i="3"/>
  <c r="M17" i="3"/>
  <c r="R17" i="3"/>
  <c r="M112" i="3"/>
  <c r="R112" i="3"/>
  <c r="L93" i="3"/>
  <c r="Q93" i="3"/>
  <c r="L77" i="3"/>
  <c r="Q77" i="3"/>
  <c r="L76" i="3"/>
  <c r="Q76" i="3"/>
  <c r="L60" i="3"/>
  <c r="Q60" i="3"/>
  <c r="N70" i="6"/>
  <c r="C136" i="6"/>
  <c r="L78" i="6"/>
  <c r="C137" i="6"/>
  <c r="O94" i="3"/>
  <c r="N21" i="6"/>
  <c r="C134" i="6"/>
  <c r="Q10" i="3"/>
  <c r="P10" i="3"/>
  <c r="R10" i="3"/>
  <c r="P94" i="3"/>
  <c r="Q94" i="3"/>
  <c r="R94" i="3"/>
  <c r="N45" i="3"/>
  <c r="N7" i="6"/>
  <c r="L46" i="6"/>
  <c r="N42" i="3" s="1"/>
  <c r="L129" i="6"/>
  <c r="N122" i="3" s="1"/>
  <c r="L18" i="6"/>
  <c r="N16" i="3" s="1"/>
  <c r="L117" i="6"/>
  <c r="N110" i="3" s="1"/>
  <c r="L30" i="6"/>
  <c r="N27" i="3" s="1"/>
  <c r="L57" i="6"/>
  <c r="N53" i="3" s="1"/>
  <c r="L35" i="6"/>
  <c r="N31" i="3" s="1"/>
  <c r="L70" i="6"/>
  <c r="L59" i="6"/>
  <c r="N55" i="3" s="1"/>
  <c r="L21" i="6"/>
  <c r="L31" i="6"/>
  <c r="N28" i="3" s="1"/>
  <c r="L113" i="6"/>
  <c r="N106" i="3" s="1"/>
  <c r="L91" i="6"/>
  <c r="N84" i="3" s="1"/>
  <c r="L65" i="6"/>
  <c r="L99" i="6"/>
  <c r="N92" i="3" s="1"/>
  <c r="L52" i="6"/>
  <c r="N48" i="3" s="1"/>
  <c r="L103" i="6"/>
  <c r="N96" i="3" s="1"/>
  <c r="L89" i="6"/>
  <c r="N82" i="3" s="1"/>
  <c r="C15" i="6"/>
  <c r="N15" i="6" s="1"/>
  <c r="C105" i="6"/>
  <c r="N105" i="6" s="1"/>
  <c r="C84" i="6"/>
  <c r="N84" i="6" s="1"/>
  <c r="C80" i="6"/>
  <c r="N80" i="6" s="1"/>
  <c r="C63" i="6"/>
  <c r="N63" i="6" s="1"/>
  <c r="C37" i="6"/>
  <c r="N37" i="6" s="1"/>
  <c r="C122" i="6"/>
  <c r="N122" i="6" s="1"/>
  <c r="C115" i="6"/>
  <c r="N115" i="6" s="1"/>
  <c r="C97" i="6"/>
  <c r="N97" i="6" s="1"/>
  <c r="C26" i="6"/>
  <c r="N26" i="6" s="1"/>
  <c r="C110" i="6"/>
  <c r="N110" i="6" s="1"/>
  <c r="C106" i="6"/>
  <c r="N106" i="6" s="1"/>
  <c r="C73" i="6"/>
  <c r="N73" i="6" s="1"/>
  <c r="C22" i="6"/>
  <c r="N22" i="6" s="1"/>
  <c r="C125" i="6"/>
  <c r="N125" i="6" s="1"/>
  <c r="C96" i="6"/>
  <c r="N96" i="6" s="1"/>
  <c r="C74" i="6"/>
  <c r="N74" i="6" s="1"/>
  <c r="C40" i="6"/>
  <c r="N40" i="6" s="1"/>
  <c r="C25" i="6"/>
  <c r="N25" i="6" s="1"/>
  <c r="C32" i="6"/>
  <c r="C66" i="6"/>
  <c r="N66" i="6" s="1"/>
  <c r="G6" i="5"/>
  <c r="G7" i="5"/>
  <c r="G8" i="5"/>
  <c r="G9" i="5"/>
  <c r="G10" i="5"/>
  <c r="S126" i="3"/>
  <c r="T126" i="3"/>
  <c r="U126" i="3"/>
  <c r="S127" i="3"/>
  <c r="V127" i="3" s="1"/>
  <c r="T127" i="3"/>
  <c r="W127" i="3" s="1"/>
  <c r="U127" i="3"/>
  <c r="X127" i="3" s="1"/>
  <c r="S128" i="3"/>
  <c r="V128" i="3" s="1"/>
  <c r="T128" i="3"/>
  <c r="W128" i="3" s="1"/>
  <c r="U128" i="3"/>
  <c r="X128" i="3" s="1"/>
  <c r="S129" i="3"/>
  <c r="V129" i="3" s="1"/>
  <c r="T129" i="3"/>
  <c r="W129" i="3" s="1"/>
  <c r="U129" i="3"/>
  <c r="X129" i="3" s="1"/>
  <c r="X124" i="3" l="1"/>
  <c r="U94" i="3"/>
  <c r="X94" i="3" s="1"/>
  <c r="U37" i="3"/>
  <c r="X37" i="3" s="1"/>
  <c r="U86" i="3"/>
  <c r="U24" i="3"/>
  <c r="X24" i="3" s="1"/>
  <c r="U38" i="3"/>
  <c r="X38" i="3" s="1"/>
  <c r="U102" i="3"/>
  <c r="X102" i="3" s="1"/>
  <c r="T54" i="3"/>
  <c r="W54" i="3" s="1"/>
  <c r="U79" i="3"/>
  <c r="X79" i="3" s="1"/>
  <c r="U117" i="3"/>
  <c r="X117" i="3" s="1"/>
  <c r="U76" i="3"/>
  <c r="X76" i="3" s="1"/>
  <c r="T93" i="3"/>
  <c r="W93" i="3" s="1"/>
  <c r="T70" i="3"/>
  <c r="W70" i="3" s="1"/>
  <c r="T91" i="3"/>
  <c r="W91" i="3" s="1"/>
  <c r="T44" i="3"/>
  <c r="W44" i="3" s="1"/>
  <c r="T97" i="3"/>
  <c r="T86" i="3"/>
  <c r="W86" i="3" s="1"/>
  <c r="U116" i="3"/>
  <c r="X116" i="3" s="1"/>
  <c r="U101" i="3"/>
  <c r="X101" i="3" s="1"/>
  <c r="U50" i="3"/>
  <c r="X50" i="3" s="1"/>
  <c r="T37" i="3"/>
  <c r="W37" i="3" s="1"/>
  <c r="U95" i="3"/>
  <c r="X95" i="3" s="1"/>
  <c r="U88" i="3"/>
  <c r="X88" i="3" s="1"/>
  <c r="T63" i="3"/>
  <c r="W63" i="3" s="1"/>
  <c r="U25" i="3"/>
  <c r="X25" i="3" s="1"/>
  <c r="T52" i="3"/>
  <c r="W52" i="3" s="1"/>
  <c r="T85" i="3"/>
  <c r="W85" i="3" s="1"/>
  <c r="U44" i="3"/>
  <c r="X44" i="3" s="1"/>
  <c r="U109" i="3"/>
  <c r="X109" i="3" s="1"/>
  <c r="T25" i="3"/>
  <c r="W25" i="3" s="1"/>
  <c r="U35" i="3"/>
  <c r="X35" i="3" s="1"/>
  <c r="T35" i="3"/>
  <c r="W35" i="3" s="1"/>
  <c r="T80" i="3"/>
  <c r="W80" i="3" s="1"/>
  <c r="T24" i="3"/>
  <c r="W24" i="3" s="1"/>
  <c r="T39" i="3"/>
  <c r="U97" i="3"/>
  <c r="X97" i="3" s="1"/>
  <c r="T121" i="3"/>
  <c r="W121" i="3" s="1"/>
  <c r="U39" i="3"/>
  <c r="X39" i="3" s="1"/>
  <c r="T66" i="3"/>
  <c r="W66" i="3" s="1"/>
  <c r="T120" i="3"/>
  <c r="W120" i="3" s="1"/>
  <c r="U107" i="3"/>
  <c r="X107" i="3" s="1"/>
  <c r="T43" i="3"/>
  <c r="W43" i="3" s="1"/>
  <c r="T40" i="3"/>
  <c r="W40" i="3" s="1"/>
  <c r="U71" i="3"/>
  <c r="X71" i="3" s="1"/>
  <c r="T77" i="3"/>
  <c r="W77" i="3" s="1"/>
  <c r="U123" i="3"/>
  <c r="X123" i="3" s="1"/>
  <c r="T21" i="3"/>
  <c r="W21" i="3" s="1"/>
  <c r="T47" i="3"/>
  <c r="W47" i="3" s="1"/>
  <c r="T20" i="3"/>
  <c r="W20" i="3" s="1"/>
  <c r="U121" i="3"/>
  <c r="X121" i="3" s="1"/>
  <c r="T102" i="3"/>
  <c r="W102" i="3" s="1"/>
  <c r="U30" i="3"/>
  <c r="X30" i="3" s="1"/>
  <c r="T119" i="3"/>
  <c r="W119" i="3" s="1"/>
  <c r="T32" i="3"/>
  <c r="W32" i="3" s="1"/>
  <c r="U47" i="3"/>
  <c r="X47" i="3" s="1"/>
  <c r="U104" i="3"/>
  <c r="U41" i="3"/>
  <c r="X41" i="3" s="1"/>
  <c r="T101" i="3"/>
  <c r="W101" i="3" s="1"/>
  <c r="T64" i="3"/>
  <c r="W64" i="3" s="1"/>
  <c r="T41" i="3"/>
  <c r="W41" i="3" s="1"/>
  <c r="U83" i="3"/>
  <c r="T67" i="3"/>
  <c r="W67" i="3" s="1"/>
  <c r="T34" i="3"/>
  <c r="W34" i="3" s="1"/>
  <c r="T71" i="3"/>
  <c r="W71" i="3" s="1"/>
  <c r="U105" i="3"/>
  <c r="X105" i="3" s="1"/>
  <c r="U26" i="3"/>
  <c r="X26" i="3" s="1"/>
  <c r="U32" i="3"/>
  <c r="X32" i="3" s="1"/>
  <c r="U113" i="3"/>
  <c r="X113" i="3" s="1"/>
  <c r="Z113" i="3" s="1"/>
  <c r="T75" i="3"/>
  <c r="W75" i="3" s="1"/>
  <c r="U52" i="3"/>
  <c r="X52" i="3" s="1"/>
  <c r="T123" i="3"/>
  <c r="W123" i="3" s="1"/>
  <c r="U34" i="3"/>
  <c r="X34" i="3" s="1"/>
  <c r="T60" i="3"/>
  <c r="W60" i="3" s="1"/>
  <c r="U112" i="3"/>
  <c r="X112" i="3" s="1"/>
  <c r="U85" i="3"/>
  <c r="X85" i="3" s="1"/>
  <c r="U75" i="3"/>
  <c r="X75" i="3" s="1"/>
  <c r="U66" i="3"/>
  <c r="X66" i="3" s="1"/>
  <c r="T26" i="3"/>
  <c r="W26" i="3" s="1"/>
  <c r="U40" i="3"/>
  <c r="T79" i="3"/>
  <c r="T100" i="3"/>
  <c r="W100" i="3" s="1"/>
  <c r="T51" i="3"/>
  <c r="W51" i="3" s="1"/>
  <c r="U54" i="3"/>
  <c r="X54" i="3" s="1"/>
  <c r="U43" i="3"/>
  <c r="X43" i="3" s="1"/>
  <c r="U46" i="3"/>
  <c r="X46" i="3" s="1"/>
  <c r="U114" i="3"/>
  <c r="X114" i="3" s="1"/>
  <c r="U51" i="3"/>
  <c r="X51" i="3" s="1"/>
  <c r="T56" i="3"/>
  <c r="W56" i="3" s="1"/>
  <c r="T76" i="3"/>
  <c r="W76" i="3" s="1"/>
  <c r="U17" i="3"/>
  <c r="X17" i="3" s="1"/>
  <c r="U100" i="3"/>
  <c r="X100" i="3" s="1"/>
  <c r="T112" i="3"/>
  <c r="W112" i="3" s="1"/>
  <c r="T49" i="3"/>
  <c r="U91" i="3"/>
  <c r="X91" i="3" s="1"/>
  <c r="U20" i="3"/>
  <c r="X20" i="3" s="1"/>
  <c r="T107" i="3"/>
  <c r="W107" i="3" s="1"/>
  <c r="U63" i="3"/>
  <c r="T58" i="3"/>
  <c r="W58" i="3" s="1"/>
  <c r="U56" i="3"/>
  <c r="X56" i="3" s="1"/>
  <c r="U120" i="3"/>
  <c r="T95" i="3"/>
  <c r="W95" i="3" s="1"/>
  <c r="U57" i="3"/>
  <c r="X57" i="3" s="1"/>
  <c r="T117" i="3"/>
  <c r="W117" i="3" s="1"/>
  <c r="U111" i="3"/>
  <c r="X111" i="3" s="1"/>
  <c r="T83" i="3"/>
  <c r="W83" i="3" s="1"/>
  <c r="T114" i="3"/>
  <c r="W114" i="3" s="1"/>
  <c r="U70" i="3"/>
  <c r="X70" i="3" s="1"/>
  <c r="T57" i="3"/>
  <c r="W57" i="3" s="1"/>
  <c r="T30" i="3"/>
  <c r="W30" i="3" s="1"/>
  <c r="T116" i="3"/>
  <c r="W116" i="3" s="1"/>
  <c r="U21" i="3"/>
  <c r="X21" i="3" s="1"/>
  <c r="T72" i="3"/>
  <c r="W72" i="3" s="1"/>
  <c r="T50" i="3"/>
  <c r="W50" i="3" s="1"/>
  <c r="U49" i="3"/>
  <c r="X49" i="3" s="1"/>
  <c r="U58" i="3"/>
  <c r="X58" i="3" s="1"/>
  <c r="U87" i="3"/>
  <c r="X87" i="3" s="1"/>
  <c r="U80" i="3"/>
  <c r="X80" i="3" s="1"/>
  <c r="T17" i="3"/>
  <c r="W17" i="3" s="1"/>
  <c r="U77" i="3"/>
  <c r="X77" i="3" s="1"/>
  <c r="U67" i="3"/>
  <c r="X67" i="3" s="1"/>
  <c r="T109" i="3"/>
  <c r="W109" i="3" s="1"/>
  <c r="T81" i="3"/>
  <c r="W81" i="3" s="1"/>
  <c r="T38" i="3"/>
  <c r="W38" i="3" s="1"/>
  <c r="U72" i="3"/>
  <c r="X72" i="3" s="1"/>
  <c r="T111" i="3"/>
  <c r="W111" i="3" s="1"/>
  <c r="T46" i="3"/>
  <c r="W46" i="3" s="1"/>
  <c r="T105" i="3"/>
  <c r="W105" i="3" s="1"/>
  <c r="U60" i="3"/>
  <c r="X60" i="3" s="1"/>
  <c r="U93" i="3"/>
  <c r="X93" i="3" s="1"/>
  <c r="T104" i="3"/>
  <c r="W104" i="3" s="1"/>
  <c r="U64" i="3"/>
  <c r="X64" i="3" s="1"/>
  <c r="U81" i="3"/>
  <c r="X81" i="3" s="1"/>
  <c r="T88" i="3"/>
  <c r="W88" i="3" s="1"/>
  <c r="U119" i="3"/>
  <c r="X119" i="3" s="1"/>
  <c r="T87" i="3"/>
  <c r="W87" i="3" s="1"/>
  <c r="X126" i="3"/>
  <c r="X130" i="3" s="1"/>
  <c r="U130" i="3"/>
  <c r="W126" i="3"/>
  <c r="W130" i="3" s="1"/>
  <c r="T130" i="3"/>
  <c r="V126" i="3"/>
  <c r="V130" i="3" s="1"/>
  <c r="S130" i="3"/>
  <c r="Z127" i="3"/>
  <c r="Z129" i="3"/>
  <c r="Z128" i="3"/>
  <c r="Z124" i="3"/>
  <c r="Y128" i="3"/>
  <c r="Y129" i="3"/>
  <c r="Y127" i="3"/>
  <c r="Y124" i="3"/>
  <c r="X63" i="3"/>
  <c r="W97" i="3"/>
  <c r="X86" i="3"/>
  <c r="X104" i="3"/>
  <c r="X120" i="3"/>
  <c r="W39" i="3"/>
  <c r="X83" i="3"/>
  <c r="W49" i="3"/>
  <c r="X40" i="3"/>
  <c r="W79" i="3"/>
  <c r="Q15" i="3"/>
  <c r="P15" i="3"/>
  <c r="T94" i="3"/>
  <c r="W94" i="3" s="1"/>
  <c r="S94" i="3"/>
  <c r="V94" i="3" s="1"/>
  <c r="L136" i="6"/>
  <c r="N136" i="6"/>
  <c r="L137" i="6"/>
  <c r="N137" i="6"/>
  <c r="O15" i="3"/>
  <c r="S15" i="3" s="1"/>
  <c r="L134" i="6"/>
  <c r="N134" i="6"/>
  <c r="O45" i="3"/>
  <c r="S45" i="3" s="1"/>
  <c r="N32" i="6"/>
  <c r="C135" i="6"/>
  <c r="P92" i="3"/>
  <c r="Q92" i="3"/>
  <c r="R92" i="3"/>
  <c r="P31" i="3"/>
  <c r="Q31" i="3"/>
  <c r="R31" i="3"/>
  <c r="Q45" i="3"/>
  <c r="R45" i="3"/>
  <c r="P45" i="3"/>
  <c r="N65" i="6"/>
  <c r="N61" i="3"/>
  <c r="Q53" i="3"/>
  <c r="R53" i="3"/>
  <c r="P53" i="3"/>
  <c r="R82" i="3"/>
  <c r="P82" i="3"/>
  <c r="Q82" i="3"/>
  <c r="P84" i="3"/>
  <c r="Q84" i="3"/>
  <c r="R84" i="3"/>
  <c r="P27" i="3"/>
  <c r="Q27" i="3"/>
  <c r="R27" i="3"/>
  <c r="R106" i="3"/>
  <c r="P106" i="3"/>
  <c r="Q106" i="3"/>
  <c r="P110" i="3"/>
  <c r="Q110" i="3"/>
  <c r="R110" i="3"/>
  <c r="P28" i="3"/>
  <c r="Q28" i="3"/>
  <c r="R28" i="3"/>
  <c r="P16" i="3"/>
  <c r="Q16" i="3"/>
  <c r="R16" i="3"/>
  <c r="R122" i="3"/>
  <c r="P122" i="3"/>
  <c r="Q122" i="3"/>
  <c r="P96" i="3"/>
  <c r="Q96" i="3"/>
  <c r="R96" i="3"/>
  <c r="P55" i="3"/>
  <c r="Q55" i="3"/>
  <c r="R55" i="3"/>
  <c r="R42" i="3"/>
  <c r="P42" i="3"/>
  <c r="Q42" i="3"/>
  <c r="P48" i="3"/>
  <c r="Q48" i="3"/>
  <c r="R48" i="3"/>
  <c r="L66" i="6"/>
  <c r="N62" i="3" s="1"/>
  <c r="L84" i="6"/>
  <c r="N78" i="3" s="1"/>
  <c r="L40" i="6"/>
  <c r="N36" i="3" s="1"/>
  <c r="L26" i="6"/>
  <c r="N23" i="3" s="1"/>
  <c r="L105" i="6"/>
  <c r="N98" i="3" s="1"/>
  <c r="L32" i="6"/>
  <c r="L80" i="6"/>
  <c r="N74" i="3" s="1"/>
  <c r="L110" i="6"/>
  <c r="N103" i="3" s="1"/>
  <c r="L97" i="6"/>
  <c r="N90" i="3" s="1"/>
  <c r="L115" i="6"/>
  <c r="N108" i="3" s="1"/>
  <c r="L73" i="6"/>
  <c r="N68" i="3" s="1"/>
  <c r="L25" i="6"/>
  <c r="N22" i="3" s="1"/>
  <c r="L74" i="6"/>
  <c r="N69" i="3" s="1"/>
  <c r="L15" i="6"/>
  <c r="N13" i="3" s="1"/>
  <c r="L63" i="6"/>
  <c r="N59" i="3" s="1"/>
  <c r="L106" i="6"/>
  <c r="N99" i="3" s="1"/>
  <c r="L96" i="6"/>
  <c r="N89" i="3" s="1"/>
  <c r="L125" i="6"/>
  <c r="N118" i="3" s="1"/>
  <c r="L122" i="6"/>
  <c r="N115" i="3" s="1"/>
  <c r="L22" i="6"/>
  <c r="L37" i="6"/>
  <c r="N33" i="3" s="1"/>
  <c r="Z44" i="3" l="1"/>
  <c r="Z121" i="3"/>
  <c r="Y126" i="3"/>
  <c r="Y130" i="3" s="1"/>
  <c r="Z126" i="3"/>
  <c r="Z130" i="3" s="1"/>
  <c r="Z26" i="3"/>
  <c r="Z79" i="3"/>
  <c r="Z100" i="3"/>
  <c r="Z85" i="3"/>
  <c r="Z75" i="3"/>
  <c r="Z87" i="3"/>
  <c r="Z107" i="3"/>
  <c r="Z63" i="3"/>
  <c r="Z101" i="3"/>
  <c r="Z52" i="3"/>
  <c r="Z39" i="3"/>
  <c r="Z38" i="3"/>
  <c r="Z80" i="3"/>
  <c r="Z17" i="3"/>
  <c r="Z66" i="3"/>
  <c r="Z30" i="3"/>
  <c r="Z32" i="3"/>
  <c r="Z88" i="3"/>
  <c r="Z72" i="3"/>
  <c r="Z104" i="3"/>
  <c r="Z57" i="3"/>
  <c r="Z105" i="3"/>
  <c r="Z86" i="3"/>
  <c r="Z67" i="3"/>
  <c r="Z114" i="3"/>
  <c r="Z91" i="3"/>
  <c r="Z46" i="3"/>
  <c r="Z43" i="3"/>
  <c r="Z24" i="3"/>
  <c r="Z37" i="3"/>
  <c r="Z111" i="3"/>
  <c r="Z40" i="3"/>
  <c r="Z41" i="3"/>
  <c r="Z76" i="3"/>
  <c r="Z97" i="3"/>
  <c r="Z102" i="3"/>
  <c r="Z64" i="3"/>
  <c r="Z77" i="3"/>
  <c r="Z81" i="3"/>
  <c r="Z54" i="3"/>
  <c r="Z21" i="3"/>
  <c r="Z25" i="3"/>
  <c r="Z112" i="3"/>
  <c r="Z123" i="3"/>
  <c r="Z51" i="3"/>
  <c r="Z70" i="3"/>
  <c r="Z83" i="3"/>
  <c r="Z120" i="3"/>
  <c r="Z35" i="3"/>
  <c r="Z60" i="3"/>
  <c r="Z94" i="3"/>
  <c r="Z34" i="3"/>
  <c r="Z49" i="3"/>
  <c r="Z93" i="3"/>
  <c r="Z117" i="3"/>
  <c r="Z56" i="3"/>
  <c r="Z58" i="3"/>
  <c r="Z116" i="3"/>
  <c r="Z20" i="3"/>
  <c r="Z119" i="3"/>
  <c r="Z95" i="3"/>
  <c r="Z50" i="3"/>
  <c r="Z47" i="3"/>
  <c r="Z71" i="3"/>
  <c r="Z109" i="3"/>
  <c r="Y109" i="3"/>
  <c r="Y102" i="3"/>
  <c r="Y63" i="3"/>
  <c r="Y60" i="3"/>
  <c r="Y17" i="3"/>
  <c r="Y35" i="3"/>
  <c r="Y41" i="3"/>
  <c r="Y30" i="3"/>
  <c r="Y21" i="3"/>
  <c r="Y38" i="3"/>
  <c r="Y44" i="3"/>
  <c r="Y54" i="3"/>
  <c r="Y47" i="3"/>
  <c r="Y56" i="3"/>
  <c r="Y83" i="3"/>
  <c r="Y117" i="3"/>
  <c r="Y113" i="3"/>
  <c r="Y51" i="3"/>
  <c r="Y70" i="3"/>
  <c r="Y80" i="3"/>
  <c r="Y87" i="3"/>
  <c r="Y81" i="3"/>
  <c r="Y71" i="3"/>
  <c r="Y50" i="3"/>
  <c r="Y64" i="3"/>
  <c r="Y95" i="3"/>
  <c r="Y77" i="3"/>
  <c r="Y111" i="3"/>
  <c r="Y58" i="3"/>
  <c r="Y120" i="3"/>
  <c r="Y37" i="3"/>
  <c r="Y66" i="3"/>
  <c r="Y24" i="3"/>
  <c r="Y72" i="3"/>
  <c r="Y40" i="3"/>
  <c r="Y32" i="3"/>
  <c r="Y88" i="3"/>
  <c r="Y86" i="3"/>
  <c r="Y25" i="3"/>
  <c r="Y46" i="3"/>
  <c r="Y76" i="3"/>
  <c r="Y123" i="3"/>
  <c r="Y75" i="3"/>
  <c r="Y20" i="3"/>
  <c r="Y39" i="3"/>
  <c r="Y91" i="3"/>
  <c r="Y116" i="3"/>
  <c r="Y52" i="3"/>
  <c r="Y85" i="3"/>
  <c r="Y97" i="3"/>
  <c r="Y104" i="3"/>
  <c r="Y105" i="3"/>
  <c r="Y112" i="3"/>
  <c r="Y57" i="3"/>
  <c r="Y43" i="3"/>
  <c r="Y79" i="3"/>
  <c r="Y34" i="3"/>
  <c r="Y101" i="3"/>
  <c r="Y93" i="3"/>
  <c r="Y49" i="3"/>
  <c r="Y107" i="3"/>
  <c r="Y119" i="3"/>
  <c r="Y114" i="3"/>
  <c r="Y121" i="3"/>
  <c r="Y100" i="3"/>
  <c r="Y26" i="3"/>
  <c r="Y67" i="3"/>
  <c r="V15" i="3"/>
  <c r="T15" i="3"/>
  <c r="W15" i="3" s="1"/>
  <c r="U15" i="3"/>
  <c r="X15" i="3" s="1"/>
  <c r="O110" i="3"/>
  <c r="O61" i="3"/>
  <c r="U61" i="3" s="1"/>
  <c r="N18" i="3"/>
  <c r="O92" i="3"/>
  <c r="L135" i="6"/>
  <c r="N135" i="6"/>
  <c r="O48" i="3"/>
  <c r="U45" i="3"/>
  <c r="X45" i="3" s="1"/>
  <c r="O106" i="3"/>
  <c r="T45" i="3"/>
  <c r="W45" i="3" s="1"/>
  <c r="O65" i="3"/>
  <c r="O82" i="3"/>
  <c r="O28" i="3"/>
  <c r="O84" i="3"/>
  <c r="N65" i="3"/>
  <c r="O31" i="3"/>
  <c r="O96" i="3"/>
  <c r="O55" i="3"/>
  <c r="O42" i="3"/>
  <c r="O27" i="3"/>
  <c r="O122" i="3"/>
  <c r="O53" i="3"/>
  <c r="O16" i="3"/>
  <c r="O10" i="3"/>
  <c r="U10" i="3" s="1"/>
  <c r="N73" i="3"/>
  <c r="Q69" i="3"/>
  <c r="R69" i="3"/>
  <c r="P69" i="3"/>
  <c r="P99" i="3"/>
  <c r="Q99" i="3"/>
  <c r="R99" i="3"/>
  <c r="P22" i="3"/>
  <c r="Q22" i="3"/>
  <c r="R22" i="3"/>
  <c r="R98" i="3"/>
  <c r="P98" i="3"/>
  <c r="Q98" i="3"/>
  <c r="P62" i="3"/>
  <c r="Q62" i="3"/>
  <c r="R62" i="3"/>
  <c r="P68" i="3"/>
  <c r="Q68" i="3"/>
  <c r="R68" i="3"/>
  <c r="P108" i="3"/>
  <c r="Q108" i="3"/>
  <c r="R108" i="3"/>
  <c r="P23" i="3"/>
  <c r="Q23" i="3"/>
  <c r="R23" i="3"/>
  <c r="P59" i="3"/>
  <c r="Q59" i="3"/>
  <c r="R59" i="3"/>
  <c r="P33" i="3"/>
  <c r="Q33" i="3"/>
  <c r="R33" i="3"/>
  <c r="P36" i="3"/>
  <c r="Q36" i="3"/>
  <c r="R36" i="3"/>
  <c r="Q61" i="3"/>
  <c r="R61" i="3"/>
  <c r="P61" i="3"/>
  <c r="R90" i="3"/>
  <c r="P90" i="3"/>
  <c r="Q90" i="3"/>
  <c r="N19" i="3"/>
  <c r="P115" i="3"/>
  <c r="Q115" i="3"/>
  <c r="R115" i="3"/>
  <c r="P103" i="3"/>
  <c r="Q103" i="3"/>
  <c r="R103" i="3"/>
  <c r="V45" i="3"/>
  <c r="P89" i="3"/>
  <c r="Q89" i="3"/>
  <c r="R89" i="3"/>
  <c r="Y94" i="3"/>
  <c r="P118" i="3"/>
  <c r="Q118" i="3"/>
  <c r="R118" i="3"/>
  <c r="Q13" i="3"/>
  <c r="R13" i="3"/>
  <c r="P13" i="3"/>
  <c r="R74" i="3"/>
  <c r="P74" i="3"/>
  <c r="Q74" i="3"/>
  <c r="P78" i="3"/>
  <c r="Q78" i="3"/>
  <c r="R78" i="3"/>
  <c r="Z45" i="3" l="1"/>
  <c r="Z15" i="3"/>
  <c r="T10" i="3"/>
  <c r="W10" i="3" s="1"/>
  <c r="S10" i="3"/>
  <c r="V10" i="3" s="1"/>
  <c r="Y15" i="3"/>
  <c r="T61" i="3"/>
  <c r="W61" i="3" s="1"/>
  <c r="N29" i="3"/>
  <c r="T65" i="3"/>
  <c r="O90" i="3"/>
  <c r="S31" i="3"/>
  <c r="V31" i="3" s="1"/>
  <c r="T31" i="3"/>
  <c r="W31" i="3" s="1"/>
  <c r="U31" i="3"/>
  <c r="X31" i="3" s="1"/>
  <c r="O62" i="3"/>
  <c r="O115" i="3"/>
  <c r="S42" i="3"/>
  <c r="V42" i="3" s="1"/>
  <c r="T42" i="3"/>
  <c r="W42" i="3" s="1"/>
  <c r="U42" i="3"/>
  <c r="X42" i="3" s="1"/>
  <c r="O103" i="3"/>
  <c r="P65" i="3"/>
  <c r="Q65" i="3"/>
  <c r="R65" i="3"/>
  <c r="U65" i="3"/>
  <c r="S65" i="3"/>
  <c r="T92" i="3"/>
  <c r="W92" i="3" s="1"/>
  <c r="U92" i="3"/>
  <c r="X92" i="3" s="1"/>
  <c r="S92" i="3"/>
  <c r="V92" i="3" s="1"/>
  <c r="P73" i="3"/>
  <c r="Q73" i="3"/>
  <c r="R73" i="3"/>
  <c r="O78" i="3"/>
  <c r="O74" i="3"/>
  <c r="S53" i="3"/>
  <c r="V53" i="3" s="1"/>
  <c r="U53" i="3"/>
  <c r="X53" i="3" s="1"/>
  <c r="T53" i="3"/>
  <c r="W53" i="3" s="1"/>
  <c r="S106" i="3"/>
  <c r="V106" i="3" s="1"/>
  <c r="T106" i="3"/>
  <c r="W106" i="3" s="1"/>
  <c r="U106" i="3"/>
  <c r="X106" i="3" s="1"/>
  <c r="S27" i="3"/>
  <c r="V27" i="3" s="1"/>
  <c r="U27" i="3"/>
  <c r="X27" i="3" s="1"/>
  <c r="T27" i="3"/>
  <c r="W27" i="3" s="1"/>
  <c r="O99" i="3"/>
  <c r="U16" i="3"/>
  <c r="X16" i="3" s="1"/>
  <c r="T16" i="3"/>
  <c r="W16" i="3" s="1"/>
  <c r="S16" i="3"/>
  <c r="V16" i="3" s="1"/>
  <c r="O23" i="3"/>
  <c r="O89" i="3"/>
  <c r="O98" i="3"/>
  <c r="T55" i="3"/>
  <c r="W55" i="3" s="1"/>
  <c r="S55" i="3"/>
  <c r="V55" i="3" s="1"/>
  <c r="U55" i="3"/>
  <c r="X55" i="3" s="1"/>
  <c r="U84" i="3"/>
  <c r="X84" i="3" s="1"/>
  <c r="T84" i="3"/>
  <c r="W84" i="3" s="1"/>
  <c r="S84" i="3"/>
  <c r="V84" i="3" s="1"/>
  <c r="O33" i="3"/>
  <c r="O22" i="3"/>
  <c r="O13" i="3"/>
  <c r="S61" i="3"/>
  <c r="V61" i="3" s="1"/>
  <c r="O18" i="3"/>
  <c r="T18" i="3" s="1"/>
  <c r="O118" i="3"/>
  <c r="U122" i="3"/>
  <c r="X122" i="3" s="1"/>
  <c r="S122" i="3"/>
  <c r="V122" i="3" s="1"/>
  <c r="T122" i="3"/>
  <c r="W122" i="3" s="1"/>
  <c r="U96" i="3"/>
  <c r="X96" i="3" s="1"/>
  <c r="T96" i="3"/>
  <c r="W96" i="3" s="1"/>
  <c r="S96" i="3"/>
  <c r="V96" i="3" s="1"/>
  <c r="S28" i="3"/>
  <c r="V28" i="3" s="1"/>
  <c r="T28" i="3"/>
  <c r="W28" i="3" s="1"/>
  <c r="U28" i="3"/>
  <c r="X28" i="3" s="1"/>
  <c r="R18" i="3"/>
  <c r="P18" i="3"/>
  <c r="Q18" i="3"/>
  <c r="O59" i="3"/>
  <c r="O68" i="3"/>
  <c r="O73" i="3"/>
  <c r="T73" i="3" s="1"/>
  <c r="U48" i="3"/>
  <c r="X48" i="3" s="1"/>
  <c r="S48" i="3"/>
  <c r="V48" i="3" s="1"/>
  <c r="T48" i="3"/>
  <c r="W48" i="3" s="1"/>
  <c r="O36" i="3"/>
  <c r="S82" i="3"/>
  <c r="V82" i="3" s="1"/>
  <c r="T82" i="3"/>
  <c r="W82" i="3" s="1"/>
  <c r="U82" i="3"/>
  <c r="X82" i="3" s="1"/>
  <c r="S110" i="3"/>
  <c r="V110" i="3" s="1"/>
  <c r="U110" i="3"/>
  <c r="X110" i="3" s="1"/>
  <c r="T110" i="3"/>
  <c r="W110" i="3" s="1"/>
  <c r="O108" i="3"/>
  <c r="O69" i="3"/>
  <c r="O19" i="3"/>
  <c r="S19" i="3" s="1"/>
  <c r="O29" i="3"/>
  <c r="Y45" i="3"/>
  <c r="X10" i="3"/>
  <c r="P19" i="3"/>
  <c r="Q19" i="3"/>
  <c r="R19" i="3"/>
  <c r="X61" i="3"/>
  <c r="Z96" i="3" l="1"/>
  <c r="Z61" i="3"/>
  <c r="Z28" i="3"/>
  <c r="Z110" i="3"/>
  <c r="Z42" i="3"/>
  <c r="Z55" i="3"/>
  <c r="Z84" i="3"/>
  <c r="Z53" i="3"/>
  <c r="Z82" i="3"/>
  <c r="Z122" i="3"/>
  <c r="Z27" i="3"/>
  <c r="Z48" i="3"/>
  <c r="Z16" i="3"/>
  <c r="Z10" i="3"/>
  <c r="Z106" i="3"/>
  <c r="Z92" i="3"/>
  <c r="Z31" i="3"/>
  <c r="Y96" i="3"/>
  <c r="U19" i="3"/>
  <c r="X19" i="3" s="1"/>
  <c r="Y106" i="3"/>
  <c r="W65" i="3"/>
  <c r="T19" i="3"/>
  <c r="W19" i="3" s="1"/>
  <c r="Y122" i="3"/>
  <c r="Y27" i="3"/>
  <c r="Y92" i="3"/>
  <c r="U18" i="3"/>
  <c r="X18" i="3" s="1"/>
  <c r="Y110" i="3"/>
  <c r="Y48" i="3"/>
  <c r="Y31" i="3"/>
  <c r="Y55" i="3"/>
  <c r="Y16" i="3"/>
  <c r="Y42" i="3"/>
  <c r="S18" i="3"/>
  <c r="V18" i="3" s="1"/>
  <c r="P29" i="3"/>
  <c r="P5" i="3" s="1"/>
  <c r="R29" i="3"/>
  <c r="R5" i="3" s="1"/>
  <c r="Q29" i="3"/>
  <c r="Q5" i="3" s="1"/>
  <c r="W73" i="3"/>
  <c r="S23" i="3"/>
  <c r="V23" i="3" s="1"/>
  <c r="U23" i="3"/>
  <c r="X23" i="3" s="1"/>
  <c r="T23" i="3"/>
  <c r="W23" i="3" s="1"/>
  <c r="S74" i="3"/>
  <c r="V74" i="3" s="1"/>
  <c r="T74" i="3"/>
  <c r="W74" i="3" s="1"/>
  <c r="U74" i="3"/>
  <c r="X74" i="3" s="1"/>
  <c r="T62" i="3"/>
  <c r="W62" i="3" s="1"/>
  <c r="U62" i="3"/>
  <c r="X62" i="3" s="1"/>
  <c r="S62" i="3"/>
  <c r="V62" i="3" s="1"/>
  <c r="Y82" i="3"/>
  <c r="Y28" i="3"/>
  <c r="Y84" i="3"/>
  <c r="S108" i="3"/>
  <c r="V108" i="3" s="1"/>
  <c r="T108" i="3"/>
  <c r="W108" i="3" s="1"/>
  <c r="U108" i="3"/>
  <c r="X108" i="3" s="1"/>
  <c r="S36" i="3"/>
  <c r="V36" i="3" s="1"/>
  <c r="T36" i="3"/>
  <c r="W36" i="3" s="1"/>
  <c r="U36" i="3"/>
  <c r="X36" i="3" s="1"/>
  <c r="S103" i="3"/>
  <c r="V103" i="3" s="1"/>
  <c r="T103" i="3"/>
  <c r="W103" i="3" s="1"/>
  <c r="U103" i="3"/>
  <c r="X103" i="3" s="1"/>
  <c r="Y53" i="3"/>
  <c r="U22" i="3"/>
  <c r="X22" i="3" s="1"/>
  <c r="T22" i="3"/>
  <c r="W22" i="3" s="1"/>
  <c r="S22" i="3"/>
  <c r="V22" i="3" s="1"/>
  <c r="S78" i="3"/>
  <c r="V78" i="3" s="1"/>
  <c r="T78" i="3"/>
  <c r="W78" i="3" s="1"/>
  <c r="U78" i="3"/>
  <c r="X78" i="3" s="1"/>
  <c r="U68" i="3"/>
  <c r="X68" i="3" s="1"/>
  <c r="S68" i="3"/>
  <c r="V68" i="3" s="1"/>
  <c r="T68" i="3"/>
  <c r="W68" i="3" s="1"/>
  <c r="S13" i="3"/>
  <c r="V13" i="3" s="1"/>
  <c r="T13" i="3"/>
  <c r="W13" i="3" s="1"/>
  <c r="U13" i="3"/>
  <c r="X13" i="3" s="1"/>
  <c r="T59" i="3"/>
  <c r="W59" i="3" s="1"/>
  <c r="U59" i="3"/>
  <c r="X59" i="3" s="1"/>
  <c r="S59" i="3"/>
  <c r="V59" i="3" s="1"/>
  <c r="S118" i="3"/>
  <c r="V118" i="3" s="1"/>
  <c r="U118" i="3"/>
  <c r="X118" i="3" s="1"/>
  <c r="T118" i="3"/>
  <c r="W118" i="3" s="1"/>
  <c r="T69" i="3"/>
  <c r="W69" i="3" s="1"/>
  <c r="U69" i="3"/>
  <c r="X69" i="3" s="1"/>
  <c r="S69" i="3"/>
  <c r="V69" i="3" s="1"/>
  <c r="T29" i="3"/>
  <c r="U29" i="3"/>
  <c r="S29" i="3"/>
  <c r="T33" i="3"/>
  <c r="W33" i="3" s="1"/>
  <c r="U33" i="3"/>
  <c r="X33" i="3" s="1"/>
  <c r="S33" i="3"/>
  <c r="V33" i="3" s="1"/>
  <c r="U73" i="3"/>
  <c r="X73" i="3" s="1"/>
  <c r="V65" i="3"/>
  <c r="T98" i="3"/>
  <c r="W98" i="3" s="1"/>
  <c r="U98" i="3"/>
  <c r="X98" i="3" s="1"/>
  <c r="S98" i="3"/>
  <c r="V98" i="3" s="1"/>
  <c r="U99" i="3"/>
  <c r="X99" i="3" s="1"/>
  <c r="S99" i="3"/>
  <c r="V99" i="3" s="1"/>
  <c r="T99" i="3"/>
  <c r="W99" i="3" s="1"/>
  <c r="S73" i="3"/>
  <c r="V73" i="3" s="1"/>
  <c r="X65" i="3"/>
  <c r="T90" i="3"/>
  <c r="W90" i="3" s="1"/>
  <c r="U90" i="3"/>
  <c r="X90" i="3" s="1"/>
  <c r="S90" i="3"/>
  <c r="V90" i="3" s="1"/>
  <c r="W18" i="3"/>
  <c r="U89" i="3"/>
  <c r="X89" i="3" s="1"/>
  <c r="S89" i="3"/>
  <c r="V89" i="3" s="1"/>
  <c r="T89" i="3"/>
  <c r="W89" i="3" s="1"/>
  <c r="S115" i="3"/>
  <c r="V115" i="3" s="1"/>
  <c r="T115" i="3"/>
  <c r="W115" i="3" s="1"/>
  <c r="U115" i="3"/>
  <c r="X115" i="3" s="1"/>
  <c r="Y10" i="3"/>
  <c r="Y61" i="3"/>
  <c r="V19" i="3"/>
  <c r="Z90" i="3" l="1"/>
  <c r="Z98" i="3"/>
  <c r="Z118" i="3"/>
  <c r="Z68" i="3"/>
  <c r="Z73" i="3"/>
  <c r="Z33" i="3"/>
  <c r="Z22" i="3"/>
  <c r="Z62" i="3"/>
  <c r="Z59" i="3"/>
  <c r="Z78" i="3"/>
  <c r="Z23" i="3"/>
  <c r="Z89" i="3"/>
  <c r="Z19" i="3"/>
  <c r="Z99" i="3"/>
  <c r="Z13" i="3"/>
  <c r="Z36" i="3"/>
  <c r="Z108" i="3"/>
  <c r="Z74" i="3"/>
  <c r="Z18" i="3"/>
  <c r="Z115" i="3"/>
  <c r="Z65" i="3"/>
  <c r="Z69" i="3"/>
  <c r="Z103" i="3"/>
  <c r="Y68" i="3"/>
  <c r="Y98" i="3"/>
  <c r="Y74" i="3"/>
  <c r="Y59" i="3"/>
  <c r="Y103" i="3"/>
  <c r="Y33" i="3"/>
  <c r="Y108" i="3"/>
  <c r="Y89" i="3"/>
  <c r="Y69" i="3"/>
  <c r="T5" i="3"/>
  <c r="Y78" i="3"/>
  <c r="Y23" i="3"/>
  <c r="Y118" i="3"/>
  <c r="V29" i="3"/>
  <c r="X29" i="3"/>
  <c r="X5" i="3" s="1"/>
  <c r="U5" i="3"/>
  <c r="W29" i="3"/>
  <c r="W5" i="3" s="1"/>
  <c r="S5" i="3"/>
  <c r="Y90" i="3"/>
  <c r="Y36" i="3"/>
  <c r="Y22" i="3"/>
  <c r="Y99" i="3"/>
  <c r="Y62" i="3"/>
  <c r="Y65" i="3"/>
  <c r="Y73" i="3"/>
  <c r="Y13" i="3"/>
  <c r="Y18" i="3"/>
  <c r="Y115" i="3"/>
  <c r="Y19" i="3"/>
  <c r="V5" i="3" l="1"/>
  <c r="Z5" i="3" s="1"/>
  <c r="Z29" i="3"/>
  <c r="Y29" i="3"/>
  <c r="Y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tc={A526FDCF-488D-4607-9FC2-9B638DA79EF9}</author>
    <author>Elina Dace</author>
    <author>tc={FA601C5C-F5CD-4923-AF90-9668BC0E159C}</author>
  </authors>
  <commentList>
    <comment ref="AB5" authorId="0" shapeId="0" xr:uid="{A526FDCF-488D-4607-9FC2-9B638DA79EF9}">
      <text>
        <t>[Threaded comment]
Your version of Excel allows you to read this threaded comment; however, any edits to it will get removed if the file is opened in a newer version of Excel. Learn more: https://go.microsoft.com/fwlink/?linkid=870924
Comment:
    Atkritumu apsaimniekošanas valsts plāns 2021. – 2028.gadam, VARAM, 2021 (Ministru kabineta 2021. gada 22. janvāra rīkojums Nr. 45)</t>
      </text>
    </comment>
    <comment ref="A6" authorId="1" shapeId="0" xr:uid="{42CE5C1B-DAEE-4667-BCCE-E5B81A00D953}">
      <text>
        <r>
          <rPr>
            <b/>
            <sz val="9"/>
            <color indexed="81"/>
            <rFont val="Tahoma"/>
            <family val="2"/>
          </rPr>
          <t>Elina Dace:</t>
        </r>
        <r>
          <rPr>
            <sz val="9"/>
            <color indexed="81"/>
            <rFont val="Tahoma"/>
            <family val="2"/>
          </rPr>
          <t xml:space="preserve">
Atsevišķi sniegts aprēķins Rīgas četru zonu griezumā - skat. tabulas beigās</t>
        </r>
      </text>
    </comment>
    <comment ref="AB6" authorId="2" shapeId="0" xr:uid="{FA601C5C-F5CD-4923-AF90-9668BC0E159C}">
      <text>
        <t>[Threaded comment]
Your version of Excel allows you to read this threaded comment; however, any edits to it will get removed if the file is opened in a newer version of Excel. Learn more: https://go.microsoft.com/fwlink/?linkid=870924
Comment:
    Atkritumu apsaimniekošanas valsts plāns 2021. – 2028.gadam, VARAM, 2021 (Ministru kabineta 2021. gada 22. janvāra rīkojums Nr. 45)</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58" authorId="0" shapeId="0" xr:uid="{00000000-0006-0000-0000-000001000000}">
      <text>
        <r>
          <rPr>
            <sz val="8"/>
            <color rgb="FF000000"/>
            <rFont val="Tahoma"/>
            <family val="2"/>
          </rPr>
          <t xml:space="preserve">Līdz 14.02.2010. Valmieras novads.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tc={68BA7D86-EDDE-402A-A208-151040A4FB1C}</author>
    <author>tc={064ED312-945A-49E9-BF0A-4BAFD6CE128C}</author>
    <author>tc={720E2BB3-AB1A-48EC-8042-5988A0416ED7}</author>
    <author>tc={D5861D87-49C6-42F7-86B0-8242E2D663C7}</author>
  </authors>
  <commentList>
    <comment ref="R2" authorId="0" shapeId="0" xr:uid="{68BA7D86-EDDE-402A-A208-151040A4FB1C}">
      <text>
        <t>[Threaded comment]
Your version of Excel allows you to read this threaded comment; however, any edits to it will get removed if the file is opened in a newer version of Excel. Learn more: https://go.microsoft.com/fwlink/?linkid=870924
Comment:
    https://stat.gov.lv/lv/metadati/2403-iekszemes-kopprodukts-un-kopeja-pievienota-vertiba-regionos</t>
      </text>
    </comment>
    <comment ref="A3" authorId="1" shapeId="0" xr:uid="{064ED312-945A-49E9-BF0A-4BAFD6CE128C}">
      <text>
        <t>[Threaded comment]
Your version of Excel allows you to read this threaded comment; however, any edits to it will get removed if the file is opened in a newer version of Excel. Learn more: https://go.microsoft.com/fwlink/?linkid=870924
Comment:
    Ar melnu - vērtības no izmantotā informācijas avota;
Ar zaļu - aprēķinātās vērtības</t>
      </text>
    </comment>
    <comment ref="A12" authorId="2" shapeId="0" xr:uid="{720E2BB3-AB1A-48EC-8042-5988A0416ED7}">
      <text>
        <t>[Threaded comment]
Your version of Excel allows you to read this threaded comment; however, any edits to it will get removed if the file is opened in a newer version of Excel. Learn more: https://go.microsoft.com/fwlink/?linkid=870924
Comment:
    Ar melnu - vērtības no izmantotā informācijas avota;
Ar zaļu - aprēķinātās vērtības</t>
      </text>
    </comment>
    <comment ref="A67" authorId="3" shapeId="0" xr:uid="{D5861D87-49C6-42F7-86B0-8242E2D663C7}">
      <text>
        <t>[Threaded comment]
Your version of Excel allows you to read this threaded comment; however, any edits to it will get removed if the file is opened in a newer version of Excel. Learn more: https://go.microsoft.com/fwlink/?linkid=870924
Comment:
    Ar melnu - vērtības no izmantotā informācijas avota;
Ar zaļu - aprēķinātās vērtības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tc={6D9AFF0D-1D92-4587-8436-346BC4ACED50}</author>
    <author>tc={4C7039AD-2B3B-4F68-A49D-53201D051C9E}</author>
    <author>tc={E1F08BA8-2DCB-47BD-AC91-64DDC59594B2}</author>
    <author>tc={F5E21229-3E9C-4C8E-A232-EAC11AC965B7}</author>
    <author>tc={4D8458C2-723A-4055-8E51-52039BDE8014}</author>
    <author>tc={970CF2AA-B237-46E4-A242-67B74047472E}</author>
    <author>Elina Dace</author>
  </authors>
  <commentList>
    <comment ref="B2" authorId="0" shapeId="0" xr:uid="{6D9AFF0D-1D92-4587-8436-346BC4ACED50}">
      <text>
        <t>[Threaded comment]
Your version of Excel allows you to read this threaded comment; however, any edits to it will get removed if the file is opened in a newer version of Excel. Learn more: https://go.microsoft.com/fwlink/?linkid=870924
Comment:
    https://www.varam.gov.lv/lv/informacija-par-43-jaunizveidojamam-pasvaldibam</t>
      </text>
    </comment>
    <comment ref="C3" authorId="1" shapeId="0" xr:uid="{4C7039AD-2B3B-4F68-A49D-53201D051C9E}">
      <text>
        <t>[Threaded comment]
Your version of Excel allows you to read this threaded comment; however, any edits to it will get removed if the file is opened in a newer version of Excel. Learn more: https://go.microsoft.com/fwlink/?linkid=870924
Comment:
    Ar zilu - dati no Atkritumu apsaimniekošanas valsts plāna 2021.- 2028.gadam 4.pielikuma, VARAM;
Ar zaļu - vidējā maksa pašvaldībās, kurās noteikti vairāki tarifi/darbojas atšķirīgi atkritumu apsaimniekošanas uzņēmumi</t>
      </text>
    </comment>
    <comment ref="L3" authorId="2" shapeId="0" xr:uid="{E1F08BA8-2DCB-47BD-AC91-64DDC59594B2}">
      <text>
        <t>[Threaded comment]
Your version of Excel allows you to read this threaded comment; however, any edits to it will get removed if the file is opened in a newer version of Excel. Learn more: https://go.microsoft.com/fwlink/?linkid=870924
Comment:
    https://www.vestnesis.lv/op/2017/103.9</t>
      </text>
    </comment>
    <comment ref="P4" authorId="3" shapeId="0" xr:uid="{F5E21229-3E9C-4C8E-A232-EAC11AC965B7}">
      <text>
        <t>[Threaded comment]
Your version of Excel allows you to read this threaded comment; however, any edits to it will get removed if the file is opened in a newer version of Excel. Learn more: https://go.microsoft.com/fwlink/?linkid=870924
Comment:
    Sabērtu, irdenu jauktu atkritumu blīvums atkarībā no sastāva ir robežās 100-200 kg/m3. Avots: Latvijas Vides aģentūra, ROKASGRĀMATA FAKTORU PIELIETOŠANAI SADZĪVES ATKRITUMU UZSKAITĒ, PĀREJOT NO TILPUMA UZ SVARA VIENĪBĀM, 2002.</t>
      </text>
    </comment>
    <comment ref="P5" authorId="4" shapeId="0" xr:uid="{4D8458C2-723A-4055-8E51-52039BDE8014}">
      <text>
        <t>[Threaded comment]
Your version of Excel allows you to read this threaded comment; however, any edits to it will get removed if the file is opened in a newer version of Excel. Learn more: https://go.microsoft.com/fwlink/?linkid=870924
Comment:
    400-500 kg/m3. Avots: Latvijas Vides aģentūra, ROKASGRĀMATA FAKTORU PIELIETOŠANAI SADZĪVES ATKRITUMU UZSKAITĒ, PĀREJOT NO TILPUMA UZ SVARA VIENĪBĀM, 2002.</t>
      </text>
    </comment>
    <comment ref="P6" authorId="5" shapeId="0" xr:uid="{970CF2AA-B237-46E4-A242-67B74047472E}">
      <text>
        <t>[Threaded comment]
Your version of Excel allows you to read this threaded comment; however, any edits to it will get removed if the file is opened in a newer version of Excel. Learn more: https://go.microsoft.com/fwlink/?linkid=870924
Comment:
    200-500 kg/m3. Avots: Latvijas Vides aģentūra, ROKASGRĀMATA FAKTORU PIELIETOŠANAI SADZĪVES ATKRITUMU UZSKAITĒ, PĀREJOT NO TILPUMA UZ SVARA VIENĪBĀM, 2002.</t>
      </text>
    </comment>
    <comment ref="I17" authorId="6" shapeId="0" xr:uid="{619F978D-2F58-4A81-B9C7-F60FBED08938}">
      <text>
        <r>
          <rPr>
            <b/>
            <sz val="9"/>
            <color indexed="81"/>
            <rFont val="Tahoma"/>
            <family val="2"/>
          </rPr>
          <t>Elina Dace:</t>
        </r>
        <r>
          <rPr>
            <sz val="9"/>
            <color indexed="81"/>
            <rFont val="Tahoma"/>
            <family val="2"/>
          </rPr>
          <t xml:space="preserve">
izcenojums ir spēkā, ja pasūta 10 m3 vienā reisā</t>
        </r>
      </text>
    </comment>
    <comment ref="C18" authorId="6" shapeId="0" xr:uid="{C0020BC2-F0E1-405D-B69F-FA0CA2908B2A}">
      <text>
        <r>
          <rPr>
            <b/>
            <sz val="9"/>
            <color indexed="81"/>
            <rFont val="Tahoma"/>
            <family val="2"/>
          </rPr>
          <t>Elina Dace:</t>
        </r>
        <r>
          <rPr>
            <sz val="9"/>
            <color indexed="81"/>
            <rFont val="Tahoma"/>
            <family val="2"/>
          </rPr>
          <t xml:space="preserve">
divi tarifi dažādos pagastos</t>
        </r>
      </text>
    </comment>
    <comment ref="C52" authorId="6" shapeId="0" xr:uid="{9C5B787B-7656-4345-98EA-A5A830CE436C}">
      <text>
        <r>
          <rPr>
            <b/>
            <sz val="9"/>
            <color indexed="81"/>
            <rFont val="Tahoma"/>
            <family val="2"/>
          </rPr>
          <t>Elina Dace:</t>
        </r>
        <r>
          <rPr>
            <sz val="9"/>
            <color indexed="81"/>
            <rFont val="Tahoma"/>
            <family val="2"/>
          </rPr>
          <t xml:space="preserve">
Vidējais tarifs 2021.gadā (mainījies trīs reizes)</t>
        </r>
      </text>
    </comment>
    <comment ref="C59" authorId="6" shapeId="0" xr:uid="{CC11D5A6-DA72-4E8D-A8AB-7EBA151C6C79}">
      <text>
        <r>
          <rPr>
            <b/>
            <sz val="9"/>
            <color indexed="81"/>
            <rFont val="Tahoma"/>
            <family val="2"/>
          </rPr>
          <t>Elina Dace:</t>
        </r>
        <r>
          <rPr>
            <sz val="9"/>
            <color indexed="81"/>
            <rFont val="Tahoma"/>
            <family val="2"/>
          </rPr>
          <t xml:space="preserve">
no 01.09.2021. mainās tarifs:https://www.jnku.lv/l/mainas-sadzives-atkritumu-apsaimniekosanas-tarifs/</t>
        </r>
      </text>
    </comment>
    <comment ref="G76" authorId="6" shapeId="0" xr:uid="{45CA1B57-7EBD-4B98-B791-BFA4DAD9F64A}">
      <text>
        <r>
          <rPr>
            <b/>
            <sz val="9"/>
            <color indexed="81"/>
            <rFont val="Tahoma"/>
            <family val="2"/>
          </rPr>
          <t>Elina Dace:</t>
        </r>
        <r>
          <rPr>
            <sz val="9"/>
            <color indexed="81"/>
            <rFont val="Tahoma"/>
            <family val="2"/>
          </rPr>
          <t xml:space="preserve">
No 2022.gada būs SIA “Madonas namsaimnieks”:
http://www.lubana.lv/index.php/lv/2015-04-07-17-02-45/jaunumi-novada/2546-par-turpmako-atkritumu-apsaimniekosanu</t>
        </r>
      </text>
    </comment>
    <comment ref="C78" authorId="6" shapeId="0" xr:uid="{EBF7579B-E069-42BE-A85E-10D609062BE2}">
      <text>
        <r>
          <rPr>
            <b/>
            <sz val="9"/>
            <color indexed="81"/>
            <rFont val="Tahoma"/>
            <family val="2"/>
          </rPr>
          <t>Elina Dace:</t>
        </r>
        <r>
          <rPr>
            <sz val="9"/>
            <color indexed="81"/>
            <rFont val="Tahoma"/>
            <family val="2"/>
          </rPr>
          <t xml:space="preserve">
Maksa par sadzīves atkritumu apsaimniekošanu tiek aprēķināta summējot maksu par sadzīves atkritumu savākšanu (pastāvīgā daļa) un to noglabāšanu (mainīgā daļa).
Pastāvīgā daļa:
Maksa par atkritumu viena kubikmetra savākšanu noteikta saskaņā ar Madonas novada pašvaldības otrajai atkritumu apsaimniekošanas zonai apstiprināto tarifu – 9.68 EUR/m3, papildus aprēķinot PVN.
Mainīgā daļa:
Maksa par atkritumu viena kubikmetra noglabāšanu tiek noteikta norēķinu periodā (mēnesī vai ceturksnī) Vidusdaugavas atkritumu apsaimniekošanas poligonā nodoto atkritumu kopējo svaru (tonnās) reizinot ar Sabiedrisko pakalpojumu regulatora apstiprināto atkritumu noglabāšanas tarifu Vidusdaugavas atkritumu apsaimniekošanas poligonā (77.87 EUR/t) un izdalot ar norēķinu periodā savākto atkritumu daudzumu (kubikmetros), papildus aprēķinot PVN.</t>
        </r>
      </text>
    </comment>
    <comment ref="F78" authorId="6" shapeId="0" xr:uid="{A8800A45-1479-4B30-BD37-44AF2E01F990}">
      <text>
        <r>
          <rPr>
            <b/>
            <sz val="9"/>
            <color indexed="81"/>
            <rFont val="Tahoma"/>
            <family val="2"/>
          </rPr>
          <t>Elina Dace:</t>
        </r>
        <r>
          <rPr>
            <sz val="9"/>
            <color indexed="81"/>
            <rFont val="Tahoma"/>
            <family val="2"/>
          </rPr>
          <t xml:space="preserve">
Kompostēšanas laukumā "Lindes", Aronas pag., Madonas nov., apsaimniekošanai pieņemamo atkritumu izcenojumi no 01.01.2021.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tc={FB6D376C-373A-4E4D-91EB-1B05E42A90A9}</author>
    <author>tc={C7B767B8-2CBB-42F8-B150-97A6C43431F3}</author>
    <author>tc={2491E2E3-5661-48A1-98BF-B85B005DE7CD}</author>
  </authors>
  <commentList>
    <comment ref="H5" authorId="0" shapeId="0" xr:uid="{FB6D376C-373A-4E4D-91EB-1B05E42A90A9}">
      <text>
        <t>[Threaded comment]
Your version of Excel allows you to read this threaded comment; however, any edits to it will get removed if the file is opened in a newer version of Excel. Learn more: https://go.microsoft.com/fwlink/?linkid=870924
Comment:
    Atļauts kompostēt bioloģiski noārdāmos organiskos atkritumus līdz 20 731 t/gadā</t>
      </text>
    </comment>
    <comment ref="H8" authorId="1" shapeId="0" xr:uid="{C7B767B8-2CBB-42F8-B150-97A6C43431F3}">
      <text>
        <t>[Threaded comment]
Your version of Excel allows you to read this threaded comment; however, any edits to it will get removed if the file is opened in a newer version of Excel. Learn more: https://go.microsoft.com/fwlink/?linkid=870924
Comment:
    Šobrīd kompostēšanas laukums netiek izmantots, jo BNA tiek ievietoti reģenerācijai bioreaktorā, tādējādi ražojot biogāzi.</t>
      </text>
    </comment>
    <comment ref="H9" authorId="2" shapeId="0" xr:uid="{2491E2E3-5661-48A1-98BF-B85B005DE7CD}">
      <text>
        <t>[Threaded comment]
Your version of Excel allows you to read this threaded comment; however, any edits to it will get removed if the file is opened in a newer version of Excel. Learn more: https://go.microsoft.com/fwlink/?linkid=870924
Comment:
    Tā kā BNA tiek nogādāti reģenerācijai uz bioenerģijas šūnu, laukums pašreiz tiek izmantots kā būvniecības, ražošanas un tādu sadzīves atkritumu, ko nevar mehanizēti šķirot pagaidu uzglabāšanai un šķirošanai. Pēc BNA anaerobās fermentācijas iekārtu izveidošanas kompostēšanas laukums tiks integrēts BNA apsaimniekošanas tehnoloģiskajā procesā kā sagatavotā komposta pēcapstrādes un nobriedināšanas zona.</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tc={BDDF505D-2EEB-497F-9D22-2F7916DE7089}</author>
    <author>Elina Dace</author>
    <author>tc={CC33C8B7-5C2B-4084-A190-A30FE19E0035}</author>
  </authors>
  <commentList>
    <comment ref="X5" authorId="0" shapeId="0" xr:uid="{BDDF505D-2EEB-497F-9D22-2F7916DE7089}">
      <text>
        <t>[Threaded comment]
Your version of Excel allows you to read this threaded comment; however, any edits to it will get removed if the file is opened in a newer version of Excel. Learn more: https://go.microsoft.com/fwlink/?linkid=870924
Comment:
    Atkritumu apsaimniekošanas valsts plāns 2021. – 2028.gadam, VARAM, 2021 (Ministru kabineta 2021. gada 22. janvāra rīkojums Nr. 45)</t>
      </text>
    </comment>
    <comment ref="A6" authorId="1" shapeId="0" xr:uid="{8E96EA50-804B-4041-9821-1D52801DC608}">
      <text>
        <r>
          <rPr>
            <b/>
            <sz val="9"/>
            <color indexed="81"/>
            <rFont val="Tahoma"/>
            <family val="2"/>
          </rPr>
          <t>Elina Dace:</t>
        </r>
        <r>
          <rPr>
            <sz val="9"/>
            <color indexed="81"/>
            <rFont val="Tahoma"/>
            <family val="2"/>
          </rPr>
          <t xml:space="preserve">
Atsevišķi sniegts aprēķins Rīgas četru zonu griezumā - skat. tabulas beigās</t>
        </r>
      </text>
    </comment>
    <comment ref="X6" authorId="2" shapeId="0" xr:uid="{CC33C8B7-5C2B-4084-A190-A30FE19E0035}">
      <text>
        <t>[Threaded comment]
Your version of Excel allows you to read this threaded comment; however, any edits to it will get removed if the file is opened in a newer version of Excel. Learn more: https://go.microsoft.com/fwlink/?linkid=870924
Comment:
    Atkritumu apsaimniekošanas valsts plāns 2021. – 2028.gadam, VARAM, 2021 (Ministru kabineta 2021. gada 22. janvāra rīkojums Nr. 45)</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tc={48EEF76A-59A7-4F35-991D-665CBC7463E8}</author>
  </authors>
  <commentList>
    <comment ref="C2" authorId="0" shapeId="0" xr:uid="{48EEF76A-59A7-4F35-991D-665CBC7463E8}">
      <text>
        <t>[Threaded comment]
Your version of Excel allows you to read this threaded comment; however, any edits to it will get removed if the file is opened in a newer version of Excel. Learn more: https://go.microsoft.com/fwlink/?linkid=870924
Comment:
    https://www.varam.gov.lv/lv/noteikumi-par-atkritumu-apsaimniekosanas-regioniem</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tc={527FF1DC-56B0-4B84-94E0-01F22DA0AFA5}</author>
  </authors>
  <commentList>
    <comment ref="D2" authorId="0" shapeId="0" xr:uid="{527FF1DC-56B0-4B84-94E0-01F22DA0AFA5}">
      <text>
        <t>[Threaded comment]
Your version of Excel allows you to read this threaded comment; however, any edits to it will get removed if the file is opened in a newer version of Excel. Learn more: https://go.microsoft.com/fwlink/?linkid=870924
Comment:
    https://www.varam.gov.lv/lv/noteikumi-par-atkritumu-apsaimniekosanas-regioniem</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AA3AEB4-A6A7-4BB8-A4A6-AD7FF26021D8}"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1747DC0B-85F9-4E0C-968A-F3F852FEC97B}" name="WorksheetConnection_Karte (2)!$I$1:$L$120" type="102" refreshedVersion="7" minRefreshableVersion="5">
    <extLst>
      <ext xmlns:x15="http://schemas.microsoft.com/office/spreadsheetml/2010/11/main" uri="{DE250136-89BD-433C-8126-D09CA5730AF9}">
        <x15:connection id="Range">
          <x15:rangePr sourceName="_xlcn.WorksheetConnection_Karte2I1L1201"/>
        </x15:connection>
      </ext>
    </extLst>
  </connection>
</connections>
</file>

<file path=xl/sharedStrings.xml><?xml version="1.0" encoding="utf-8"?>
<sst xmlns="http://schemas.openxmlformats.org/spreadsheetml/2006/main" count="2907" uniqueCount="531">
  <si>
    <t>Iedzīvotāju skaits</t>
  </si>
  <si>
    <t>Rīga</t>
  </si>
  <si>
    <t>Daugavpils</t>
  </si>
  <si>
    <t>Jēkabpils</t>
  </si>
  <si>
    <t>Jūrmala</t>
  </si>
  <si>
    <t>Jelgava</t>
  </si>
  <si>
    <t>Liepāja</t>
  </si>
  <si>
    <t>Rēzekne</t>
  </si>
  <si>
    <t>Valmiera</t>
  </si>
  <si>
    <t>Ventspils</t>
  </si>
  <si>
    <t>Aglonas novads</t>
  </si>
  <si>
    <t>Aizkraukles novads</t>
  </si>
  <si>
    <t>Aizputes novads</t>
  </si>
  <si>
    <t>Aknīstes novads</t>
  </si>
  <si>
    <t>Alojas novads</t>
  </si>
  <si>
    <t>Alsungas novads</t>
  </si>
  <si>
    <t>Alūksnes novads</t>
  </si>
  <si>
    <t>Amatas novads</t>
  </si>
  <si>
    <t>Apes novads</t>
  </si>
  <si>
    <t>Auces novads</t>
  </si>
  <si>
    <t>Ādažu novads</t>
  </si>
  <si>
    <t>Babītes novads</t>
  </si>
  <si>
    <t>Baldones novads</t>
  </si>
  <si>
    <t>Baltinavas novads</t>
  </si>
  <si>
    <t>Balvu novads</t>
  </si>
  <si>
    <t>Bauskas novads</t>
  </si>
  <si>
    <t>Beverīnas novads</t>
  </si>
  <si>
    <t>Brocēnu novads</t>
  </si>
  <si>
    <t>Burtnieku novads</t>
  </si>
  <si>
    <t>Carnikavas novads</t>
  </si>
  <si>
    <t>Cesvaines novads</t>
  </si>
  <si>
    <t>Cēsu novads</t>
  </si>
  <si>
    <t>Ciblas novads</t>
  </si>
  <si>
    <t>Dagdas novads</t>
  </si>
  <si>
    <t>Daugavpils novads</t>
  </si>
  <si>
    <t>Dobeles novads</t>
  </si>
  <si>
    <t>Dundagas novads</t>
  </si>
  <si>
    <t>Durbes novads</t>
  </si>
  <si>
    <t>Engures novads</t>
  </si>
  <si>
    <t>Ērgļu novads</t>
  </si>
  <si>
    <t>Garkalnes novads</t>
  </si>
  <si>
    <t>Grobiņas novads</t>
  </si>
  <si>
    <t>Gulbenes novads</t>
  </si>
  <si>
    <t>Iecavas novads</t>
  </si>
  <si>
    <t>Ikšķiles novads</t>
  </si>
  <si>
    <t>Ilūkstes novads</t>
  </si>
  <si>
    <t>Inčukalna novads</t>
  </si>
  <si>
    <t>Jaunjelgavas novads</t>
  </si>
  <si>
    <t>Jaunpiebalgas novads</t>
  </si>
  <si>
    <t>Jaunpils novads</t>
  </si>
  <si>
    <t>Jelgavas novads</t>
  </si>
  <si>
    <t>Jēkabpils novads</t>
  </si>
  <si>
    <t>Kandavas novads</t>
  </si>
  <si>
    <t>Kārsavas novads</t>
  </si>
  <si>
    <t>Kocēnu novads</t>
  </si>
  <si>
    <t>Kokneses novads</t>
  </si>
  <si>
    <t>Krāslavas novads</t>
  </si>
  <si>
    <t>Krimuldas novads</t>
  </si>
  <si>
    <t>Krustpils novads</t>
  </si>
  <si>
    <t>Kuldīgas novads</t>
  </si>
  <si>
    <t>Ķeguma novads</t>
  </si>
  <si>
    <t>Ķekavas novads</t>
  </si>
  <si>
    <t>Lielvārdes novads</t>
  </si>
  <si>
    <t>Limbažu novads</t>
  </si>
  <si>
    <t>Līgatnes novads</t>
  </si>
  <si>
    <t>Līvānu novads</t>
  </si>
  <si>
    <t>Lubānas novads</t>
  </si>
  <si>
    <t>Ludzas novads</t>
  </si>
  <si>
    <t>Madonas novads</t>
  </si>
  <si>
    <t>Mazsalacas novads</t>
  </si>
  <si>
    <t>Mālpils novads</t>
  </si>
  <si>
    <t>Mārupes novads</t>
  </si>
  <si>
    <t>Mērsraga novads</t>
  </si>
  <si>
    <t>Naukšēnu novads</t>
  </si>
  <si>
    <t>Neretas novads</t>
  </si>
  <si>
    <t>Nīcas novads</t>
  </si>
  <si>
    <t>Ogres novads</t>
  </si>
  <si>
    <t>Olaines novads</t>
  </si>
  <si>
    <t>Ozolnieku novads</t>
  </si>
  <si>
    <t>Pārgaujas novads</t>
  </si>
  <si>
    <t>Pāvilostas novads</t>
  </si>
  <si>
    <t>Pļaviņu novads</t>
  </si>
  <si>
    <t>Preiļu novads</t>
  </si>
  <si>
    <t>Priekules novads</t>
  </si>
  <si>
    <t>Priekuļu novads</t>
  </si>
  <si>
    <t>Raunas novads</t>
  </si>
  <si>
    <t>Rēzeknes novads</t>
  </si>
  <si>
    <t>Riebiņu novads</t>
  </si>
  <si>
    <t>Rojas novads</t>
  </si>
  <si>
    <t>Ropažu novads</t>
  </si>
  <si>
    <t>Rucavas novads</t>
  </si>
  <si>
    <t>Rugāju novads</t>
  </si>
  <si>
    <t>Rundāles novads</t>
  </si>
  <si>
    <t>Rūjienas novads</t>
  </si>
  <si>
    <t>Salacgrīvas novads</t>
  </si>
  <si>
    <t>Salas novads</t>
  </si>
  <si>
    <t>Salaspils novads</t>
  </si>
  <si>
    <t>Saldus novads</t>
  </si>
  <si>
    <t>Saulkrastu novads</t>
  </si>
  <si>
    <t>Sējas novads</t>
  </si>
  <si>
    <t>Siguldas novads</t>
  </si>
  <si>
    <t>Skrīveru novads</t>
  </si>
  <si>
    <t>Skrundas novads</t>
  </si>
  <si>
    <t>Smiltenes novads</t>
  </si>
  <si>
    <t>Stopiņu novads</t>
  </si>
  <si>
    <t>Strenču novads</t>
  </si>
  <si>
    <t>Talsu novads</t>
  </si>
  <si>
    <t>Tērvetes novads</t>
  </si>
  <si>
    <t>Tukuma novads</t>
  </si>
  <si>
    <t>Vaiņodes novads</t>
  </si>
  <si>
    <t>Valkas novads</t>
  </si>
  <si>
    <t>Varakļānu novads</t>
  </si>
  <si>
    <t>Vārkavas novads</t>
  </si>
  <si>
    <t>Vecpiebalgas novads</t>
  </si>
  <si>
    <t>Vecumnieku novads</t>
  </si>
  <si>
    <t>Ventspils novads</t>
  </si>
  <si>
    <t>Viesītes novads</t>
  </si>
  <si>
    <t>Viļakas novads</t>
  </si>
  <si>
    <t>Viļānu novads</t>
  </si>
  <si>
    <t>Zilupes novads</t>
  </si>
  <si>
    <t>https://data.stat.gov.lv/pxweb/lv/OSP_PUB/START__POP__IR__IRS/IRS030/table/tableViewLayout1/</t>
  </si>
  <si>
    <t>CENTRA RAJONS</t>
  </si>
  <si>
    <t>KURZEMES RAJONS</t>
  </si>
  <si>
    <t>LATGALES PRIEKŠPILSĒTA</t>
  </si>
  <si>
    <t>VIDZEMES PRIEKŠPILSĒTA</t>
  </si>
  <si>
    <t>ZEMGALES PRIEKŠPILSĒTA</t>
  </si>
  <si>
    <t>ZIEMEĻU RAJONS</t>
  </si>
  <si>
    <t>Kopā RĪGA</t>
  </si>
  <si>
    <t>Kopā</t>
  </si>
  <si>
    <t>Nav spēkā reģistrācija dzīvesvietā</t>
  </si>
  <si>
    <t>Dzīvesvietas reģistrēšana</t>
  </si>
  <si>
    <t>Dzīvesvietas deklarēšana</t>
  </si>
  <si>
    <t>Dzīvesvietas norādīšana</t>
  </si>
  <si>
    <t>Teritorija</t>
  </si>
  <si>
    <t>https://mvd.riga.lv/nozares/vides-parvalde/atkritumu-apsaimniekosana/</t>
  </si>
  <si>
    <t>Rīgas pilsēta 1.zona (Centra rajons un Latgales priekšpilsēta)</t>
  </si>
  <si>
    <t>Rīgas pilsēta 2.zona (Kurzemes rajons)</t>
  </si>
  <si>
    <t>Rīgas pilsēta 3.zona (Zemgales priekšpilsēta)</t>
  </si>
  <si>
    <t>Rīgas pilsēta 4.zona (Ziemeļu rajons un Vidzemes priekšpilsēta)</t>
  </si>
  <si>
    <t>CleanR</t>
  </si>
  <si>
    <t>Lautus</t>
  </si>
  <si>
    <t>Maksa, EUR/m3</t>
  </si>
  <si>
    <t>Informācijas avots</t>
  </si>
  <si>
    <t>Informācija par bioloģisko atkritumu apsaimniekošanu un/vai konteineru skaitu, apkalpoto iedzīvotāju skaitu</t>
  </si>
  <si>
    <t>Bioloģiskie atkritumi</t>
  </si>
  <si>
    <t>Maksa, EUR/t</t>
  </si>
  <si>
    <t>https://jumis.lv/wp-content/uploads/2021/03/JUMIS_pakalpojumu_cenradis_Malpils.pdf</t>
  </si>
  <si>
    <t>https://jumis.lv/wp-content/uploads/2021/03/JUMIS_pakalpojumu_cenradis_Sigulda.pdf</t>
  </si>
  <si>
    <t>https://www.krimulda.lv/atkritumu-apsaimniekosana/</t>
  </si>
  <si>
    <t>Atkritumu apsaimniekošanas uzņēmums</t>
  </si>
  <si>
    <t>SIA Zaao</t>
  </si>
  <si>
    <t>SIA Jumis</t>
  </si>
  <si>
    <t>https://www.zaao.lv/lv/privatpersonam/sadzives_atkritumu_maksa</t>
  </si>
  <si>
    <t>https://www.spaao.lv/lv/aktualitates/noslegt-ligumu-par-sa-izvesanu/aicinam-fiziskas-un-juridiskas-personas-parslegt-ligumus-par-sadzives-atkritumu-apsaimniekosanu-jekabpils-novada-/</t>
  </si>
  <si>
    <t>Vidusdaugavas SPAAO</t>
  </si>
  <si>
    <t>Pierīga</t>
  </si>
  <si>
    <t>Dienvidlatgale</t>
  </si>
  <si>
    <t>Zemgale</t>
  </si>
  <si>
    <t>Vidusdaugava</t>
  </si>
  <si>
    <t>Piejūra</t>
  </si>
  <si>
    <t>Austrumlatgale</t>
  </si>
  <si>
    <t>Ziemeļvidzeme</t>
  </si>
  <si>
    <t xml:space="preserve">Ventspils </t>
  </si>
  <si>
    <t>Preiļu</t>
  </si>
  <si>
    <t>Aizkraukle</t>
  </si>
  <si>
    <t>Maliena</t>
  </si>
  <si>
    <t>Saldus</t>
  </si>
  <si>
    <t>pierīga</t>
  </si>
  <si>
    <t>Salaspils</t>
  </si>
  <si>
    <t>Novads pirms reformas</t>
  </si>
  <si>
    <t>Novads pēc reformas</t>
  </si>
  <si>
    <t>Augšdaugavas</t>
  </si>
  <si>
    <t>Ādažu</t>
  </si>
  <si>
    <t>Bauskas</t>
  </si>
  <si>
    <t>Cēsu</t>
  </si>
  <si>
    <t>Balvu</t>
  </si>
  <si>
    <t>Dienvidkurzemes</t>
  </si>
  <si>
    <t>Dobeles</t>
  </si>
  <si>
    <t>Jelgavas</t>
  </si>
  <si>
    <t>Krāslavas</t>
  </si>
  <si>
    <t>Kuldīgas</t>
  </si>
  <si>
    <t>Ķekavas</t>
  </si>
  <si>
    <t>Limbažu</t>
  </si>
  <si>
    <t>Ludzas</t>
  </si>
  <si>
    <t>Madonas</t>
  </si>
  <si>
    <t>Mārupes</t>
  </si>
  <si>
    <t>Ogres</t>
  </si>
  <si>
    <t>Rēzeknes</t>
  </si>
  <si>
    <t>Ropažu</t>
  </si>
  <si>
    <t>Saulkrastu</t>
  </si>
  <si>
    <t>Siguldas</t>
  </si>
  <si>
    <t>Smiltenes</t>
  </si>
  <si>
    <t>Talsu</t>
  </si>
  <si>
    <t>Tukuma</t>
  </si>
  <si>
    <t>Valmieras</t>
  </si>
  <si>
    <t>Olaines</t>
  </si>
  <si>
    <t>Alūksnes</t>
  </si>
  <si>
    <t>Gulbenes</t>
  </si>
  <si>
    <t>Līvānu</t>
  </si>
  <si>
    <t>Valkas</t>
  </si>
  <si>
    <t>Varakļānu</t>
  </si>
  <si>
    <t>Jēkabpils pakalpojumi</t>
  </si>
  <si>
    <t>https://www.jekabpils-pakalpojumi.lv/lv/pakalpojumi/atkritumu-apsaimniekosana/</t>
  </si>
  <si>
    <t>Jēkabpils ir viena no pirmajām pilsētām, kurā šogad tika uzsākta bioloģisko atkritumu šķirošanas sistēmas ieviešana. Šobrīd Jēkabpilī daudzstāvu māju rajonos ir uzstādīti 18 BIO konteineri, tādējādi nodrošinot bioloģisko atkritumu šķirošanas iespējas 53 daudzstāvu māju iedzīvotājiem.
SIA “Jēkabpils pakalpojumi” pakāpeniski turpinās bioloģiski noārdāmo atkritumu dalītās vākšanas sistēmas ieviešanu pilsētā, tāpēc ja pie daudzstāvu mājas nav uzstādīts BIO konteineris, bet iedzīvotājiem ir vēlme šķirot, lūdzam iedzīvotājus sazināties ar mājas apsaimniekotāju, un ziņot par šāda konteinera nepieciešamību. Atgādinām, ka BIO atkritumus bez maksas var nodot arī atkritumu šķirošanas laukumā Zemgales ielā 24/1.</t>
  </si>
  <si>
    <t>https://www.jekabpils-pakalpojumi.lv/lv/aktualitates/atkritumu-savaksana-un-parvadasana/ka-mums-veicas-ar-biologiski-noardamo-atkritumu-skirosanu-/?origin=/lv/pakalpojumi/atkritumu-savaksana-un-parvadasana/</t>
  </si>
  <si>
    <t>SIA Ķilupe</t>
  </si>
  <si>
    <t>https://www.skriveri.lv/lv/par-atkritumu-apsaimniekosanu-jamaksa-vairak/</t>
  </si>
  <si>
    <t>SIA Pļaviņu Komunālie pakalpojumi</t>
  </si>
  <si>
    <t>https://www.plavinunovads.lv/lv/sabiedriba/atkritumu-tarifa-izmainas-plavinu-novada</t>
  </si>
  <si>
    <t>https://cleanr.lv/aktualitates/valdiba-un-saeima-lemusi-ka-jau-janvari-tiks-palielinats-dabas-resursu-nodoklis-par-neskirotu-atkritumu-apsaimniekosanu-palielinas-ari-tarifu-iedzivotajiem/</t>
  </si>
  <si>
    <t>EcoBaltia Vide</t>
  </si>
  <si>
    <t>https://www.ecobaltiavide.lv/blog/izmainas-sadzives-atkritumu-apsaimniekosanas-maksa-no-2021-gada-1-janvara/</t>
  </si>
  <si>
    <t>AS Daugavpils specializētais autotransporta uzņēmums</t>
  </si>
  <si>
    <t>https://www.specatu.lv/lv/informacija-klientiem</t>
  </si>
  <si>
    <t>https://www.eis.gov.lv/EKEIS/Supplier/Procurement/34641</t>
  </si>
  <si>
    <t>SIA Eko Kurzeme</t>
  </si>
  <si>
    <t>Vides pakalpojumu grupa</t>
  </si>
  <si>
    <t>https://vpgrupa.lv/lv/pakalpojumi/sadzives-atkritumu-apsaimniekosana/</t>
  </si>
  <si>
    <t>https://www.ekokurzeme.lv/files/privatmaju_iedzivotajiem_un_juridiskam_personam_liepajas_pilseta.docx</t>
  </si>
  <si>
    <t>https://www.ekokurzeme.lv/files/privatmaju_iedzivotajiem_un_juridiskam_personam_grobina.docx</t>
  </si>
  <si>
    <t>https://www.ekokurzeme.lv/files/privatmaju_iedzivotajiem_un_juridiskam_personam_aizpute.docx</t>
  </si>
  <si>
    <t>https://www.ekokurzeme.lv/files/privatmaju_iedzivotajiem_un_juridiskam_personam_pavilosta.docx</t>
  </si>
  <si>
    <t>https://www.ekokurzeme.lv/lv/pakalpojumi/liguma-slegsana-skrunda/ek_ligums-skrunda/</t>
  </si>
  <si>
    <t>https://www.ekokurzeme.lv/lv/pakalpojumi/ligumu-slegsana-brocenu-novada/ek_ligums-broceni/</t>
  </si>
  <si>
    <t>https://www.ekokurzeme.lv/files/privatmaju_un_juridisko_personu_sa_saldus_ligums_(1).docx</t>
  </si>
  <si>
    <t>SIA Pilsētvides serviss</t>
  </si>
  <si>
    <t>https://www.pilsetvide.lv/lv/informacija-klientiem/aluksnes-novads</t>
  </si>
  <si>
    <t>https://www.pilsetvide.lv/lv/informacija-klientiem/gulbenes-novads</t>
  </si>
  <si>
    <t>https://www.pilsetvide.lv/lv/informacija-klientiem/cesvaines-novads</t>
  </si>
  <si>
    <t>https://www.pilsetvide.lv/lv/informacija-klientiem/erglu-novads</t>
  </si>
  <si>
    <t>https://www.pilsetvide.lv/lv/informacija-klientiem/balvu-novads</t>
  </si>
  <si>
    <t>https://www.livani.lv/lv/atkritumu-apsaimniekosana</t>
  </si>
  <si>
    <t>http://www.aadso.lv/index.php?option=com_content&amp;view=article&amp;id=138&amp;Itemid=121</t>
  </si>
  <si>
    <t>http://www.aadso.lv/index.php?option=com_content&amp;view=article&amp;id=144&amp;Itemid=128</t>
  </si>
  <si>
    <t>http://www.aadso.lv/index.php?option=com_content&amp;view=article&amp;id=142&amp;Itemid=60</t>
  </si>
  <si>
    <t>https://www.kkp.lv/pakalpojumi/atkritumu-apsaimniekosana/sadzives-atkritumi/</t>
  </si>
  <si>
    <t>https://ludzaps.lv/tarifi/</t>
  </si>
  <si>
    <t>http://alaas.lv/wp-content/uploads/2015/11/27.12.2018.valdes-lemums-Nr.3.pdf</t>
  </si>
  <si>
    <t>https://atkritumijkp.lv/pakalpojumi/sadzives-atkritumu-apsaimniekosana</t>
  </si>
  <si>
    <t>https://drive.google.com/file/d/1_19gJPErYiU31O7rXMoCRj8JhXoC3PvS/view</t>
  </si>
  <si>
    <t>http://vlk.lv/sanitaras-tirisanas-iecirknis/norekinu-tarifi-un-rekviziti/</t>
  </si>
  <si>
    <t>https://kegumastars.lv/sadzives-atkritumu-apsaimniekosanas-tarifa-izmainas-ar-01-01-2020</t>
  </si>
  <si>
    <t>https://www.vestnesis.lv/op/2021/139.14</t>
  </si>
  <si>
    <t>Bioloģiski noārdāmo atkritumu uzkrāšana tiek veikta speciālos brūnas krāsas plastmasas konteineros ar 660 litru tilpumu.
Bioatkritumi, pirms ievietošanas konteinerā, jāizņem no maisiņa vai jebkāda cita iepakojuma (pat no papīra iepakojuma).
Bioatkritumu konteineru izvešana notiek pēc klientu pieteikuma.
Cena par viena bioatkritumu konteinera izvešanu ir 10,00 EUR (t.sk. PVN).
Bioatkritumu konteinera nomas maksa ir 5,00 EUR/mēnesī (t.sk. PVN).</t>
  </si>
  <si>
    <t>https://www.kilupe.lv/pakalpojumi/skiroto-atkritumu-apsaimniekosana/bio-atkritumu-apsaimniekosana/</t>
  </si>
  <si>
    <t>SIA Vides Serviss</t>
  </si>
  <si>
    <t>http://www.videsserviss.lv/atkritumu-apsaimniekosanas-cenas</t>
  </si>
  <si>
    <t>https://www.dobeleskomunalie.lv/pakalpojumi/</t>
  </si>
  <si>
    <t>SIA «AAS «Piejūra»»</t>
  </si>
  <si>
    <t>https://piejuraatkritumi.lv/pakalpojumi/sadzives-atkritumu-apsaimniekosana/nsa-savaksanas-maksa/</t>
  </si>
  <si>
    <t>https://www.iecavasdzks.lv/index.php?id=97</t>
  </si>
  <si>
    <t>Pašvaldības SIA Garkalnes Komunālserviss</t>
  </si>
  <si>
    <t>http://www.garkalnesks.lv/par-atkritumu-apsaimniekosanu/</t>
  </si>
  <si>
    <t>http://www.garkalnesks.lv/par-atkritumu-apsaimniekosanu/kompostetaju-registracija/</t>
  </si>
  <si>
    <t>Šodien mums ir piegādāti pirmie brūnie konteineri bioloģiski noārdāmo atkritumu savākšanai! Šīs nedēļas laikā uzsāksim to piegādi iedzīvotājiem, kas jau ir izteikuši interesi tos iegādāties vai nomāt.</t>
  </si>
  <si>
    <t>https://www.ekokurzeme.lv/lv/klientu-serviss/atkritumu-apsaimniekosanas-tarifi/</t>
  </si>
  <si>
    <t>Iedzīvotāji bioloģiskos atkritumus var vest uz poligonu "Brakšķi".
Maksa par bioloģiski noārdāmiem atkritumiem bez citu veidu piemaisījumiem - 23.40 EUR/t (bez PVN)</t>
  </si>
  <si>
    <t>http://www.komunalie.lv/services/biologisko-atkritumu-izvesana</t>
  </si>
  <si>
    <t>http://berzaunesku.lv/sadzives-atkritumi/</t>
  </si>
  <si>
    <t>https://madonams.lv/pakalpojumi/atkritumi/</t>
  </si>
  <si>
    <t>http://www.lubana.lv/index.php/lv/homepage-2/noderiga-informacija/161-atkritumu-izvesanas-grafiks</t>
  </si>
  <si>
    <t>http://www.pargaujasnovads.lv/?archive&amp;nid=4007&amp;yearID=2020&amp;monthID=12&amp;dayID=03</t>
  </si>
  <si>
    <t>https://kraslava.lv/iedzivotajiem/sadzives-atkritumu-apsaimniekosana/maksa-par-atkritumu-apsaimniekosanu</t>
  </si>
  <si>
    <t>AS Olaines ūdens un siltums</t>
  </si>
  <si>
    <t>http://www.ous.lv/lv/atkritumu_apsaimniekosana/tari/</t>
  </si>
  <si>
    <t>http://www.preilusaimnieks.lv/lv/pakalpojumi/atkritumu-apsaimniekosana/atkritumu-izvesanas-un-konteineru-izcenojumi/</t>
  </si>
  <si>
    <t>https://vilkme.lv/pakalpojumi/atkritumu-izvesana</t>
  </si>
  <si>
    <t>https://www.salasnovads.lv/lv/sia-vigants-/sia-vigants-pakalpojumi/</t>
  </si>
  <si>
    <t>SIA Varakļānu dzīvokļu komunālais uzņēmums</t>
  </si>
  <si>
    <t>SIA “Karšu izdevniecība Jāņa sēta” prognozētais iedzīvotāju skaits Latvijas novados 2030.gadā</t>
  </si>
  <si>
    <t>Līdz 14.02.2010. Valmieras novads.</t>
  </si>
  <si>
    <t>Kocēnu novads:</t>
  </si>
  <si>
    <t>Teritoriālā vienība:</t>
  </si>
  <si>
    <t>Līdz 2019. gadam dati publicēti pēc faktiskās dzīvesvietas, kopš 2020. gada pēc reģistrētās dzīvesvietas.</t>
  </si>
  <si>
    <t>&lt;A HREF= https://stat.gov.lv/lv/metadati/5911-iedzivotaju-skaits-un-galvenie-demografiskie-raditaji TARGET=_blank&gt;Metadati&lt;/A&gt;</t>
  </si>
  <si>
    <t>2016. gada trešajā ceturksnī realizējot projektu 'Teritoriālās statistikas (galvenokārt pilsētas) iegūšana', pārskatīts esošais algoritms iedzīvotāju teritoriālā izvietojuma - faktiskās dzīvesvietas aprēķināšanai. Algoritms papildināts, nodrošinot precīzāku iedzīvotāju skaita novērtējumu pagastos, novados, pilsētās un reģionos. Atbilstoši jaunajam algoritmam veikti pārrēķini rādītājiem uz 2016. gada sākumu.</t>
  </si>
  <si>
    <t>Sākot ar datiem par 2017. gadu, no pastāvīgo iedzīvotāju skaita tika izslēgtas personas, kuras savu dzīvesvietu deklarējušas darbavietā (Latvijā reģistrētā uzņēmumā), bet faktiski Latvijā nedzīvo, tāpēc rādītājā “Iedzīvotāju skaits gada sākumā” samazinājies iedzīvotāju skaits Mārupes novadā. Izmaiņas metodoloģijā ietekmēja arī Rīgas un Carnikavas iedzīvotāju skaitu, bet mazākā apmērā.</t>
  </si>
  <si>
    <t>Sakarā ar teritoriālo robežu precizēšanu starp Aizkraukles pagastu un Aizkraukli, Tīnūžu pagastu un Ikšķili un Salaspils pagastu un Salaspili iedzīvotāju skaits 2018. gada sākumā minētajās teritorijās pārrēķināts.</t>
  </si>
  <si>
    <t>LATVIJA</t>
  </si>
  <si>
    <t>Iedzīvotāju skaits gada sākumā</t>
  </si>
  <si>
    <t>2021</t>
  </si>
  <si>
    <t>2020</t>
  </si>
  <si>
    <t>2019</t>
  </si>
  <si>
    <t>2018</t>
  </si>
  <si>
    <t>2017</t>
  </si>
  <si>
    <t>2016</t>
  </si>
  <si>
    <t>2015</t>
  </si>
  <si>
    <t>2014</t>
  </si>
  <si>
    <t>2013</t>
  </si>
  <si>
    <t>Jāņa sēta</t>
  </si>
  <si>
    <t>PROGNOZE</t>
  </si>
  <si>
    <t>Rīgas statistiskais reģions</t>
  </si>
  <si>
    <t>Pierīgas statistiskais reģions</t>
  </si>
  <si>
    <t>Kurzemes statistiskais reģions</t>
  </si>
  <si>
    <t>Vidzemes statistiskais reģions</t>
  </si>
  <si>
    <t>Zemgales statistiskais reģions</t>
  </si>
  <si>
    <t>Latgales statistiskais reģions</t>
  </si>
  <si>
    <t>https://data.stat.gov.lv/pxweb/lv/OSP_PUB/START__VEK__IK__IKR/IKR010/table/tableViewLayout1/</t>
  </si>
  <si>
    <t>https://data.stat.gov.lv/pxweb/lv/OSP_PUB/START__VEK__IK__IKP/IKP040/table/tableViewLayout1/</t>
  </si>
  <si>
    <t>https://data.stat.gov.lv/pxweb/lv/OSP_PUB/START__VEK__IK__IKP/IKP010/table/tableViewLayout1/</t>
  </si>
  <si>
    <t>https://data.stat.gov.lv/pxweb/lv/OSP_PUB/START__VEK__IK__IKP/IKP030/table/tableViewLayout1/</t>
  </si>
  <si>
    <t>2022</t>
  </si>
  <si>
    <t>2023</t>
  </si>
  <si>
    <t>IKP izmaiņa, %</t>
  </si>
  <si>
    <t>Latvijas Banka</t>
  </si>
  <si>
    <t>Iekšzemes kopprodukts, tūkst.EUR</t>
  </si>
  <si>
    <t>LATVIJA KOPĀ</t>
  </si>
  <si>
    <t>Pierīgas reģions</t>
  </si>
  <si>
    <t>Vidzemes reģions</t>
  </si>
  <si>
    <t>Kurzemes reģions</t>
  </si>
  <si>
    <t>Zemgales reģions</t>
  </si>
  <si>
    <t>Latgales reģions</t>
  </si>
  <si>
    <t>Latvijas iekšzemes kopprodukts no ražošanas aspekta, faktiskajās cenās, tūkst.EUR</t>
  </si>
  <si>
    <t>Reģionu iekšzemes kopprodukts no ražošanas aspekta, neskaitot pilsētu IKP, faktiskajās cenās, tūkst.EUR</t>
  </si>
  <si>
    <t>Statistiskais reģions</t>
  </si>
  <si>
    <t>Pilsēta/novads</t>
  </si>
  <si>
    <t>Row Labels</t>
  </si>
  <si>
    <t>Grand Total</t>
  </si>
  <si>
    <t>Sum of 2013</t>
  </si>
  <si>
    <t>Sum of 2014</t>
  </si>
  <si>
    <t>Sum of 2015</t>
  </si>
  <si>
    <t>Sum of 2016</t>
  </si>
  <si>
    <t>Sum of 2017</t>
  </si>
  <si>
    <t>Sum of 2018</t>
  </si>
  <si>
    <t>Sum of 2019</t>
  </si>
  <si>
    <t>Sum of 2020</t>
  </si>
  <si>
    <t>Sum of 2021</t>
  </si>
  <si>
    <t>LV</t>
  </si>
  <si>
    <t>Sum of 2022</t>
  </si>
  <si>
    <t>Sum of 2023</t>
  </si>
  <si>
    <t>Radīto atkritumu daudzums, tonnas (APRĒĶINS)</t>
  </si>
  <si>
    <t>Vēsturiskais</t>
  </si>
  <si>
    <t>Aprēķinātais</t>
  </si>
  <si>
    <t>n/a</t>
  </si>
  <si>
    <t>Jauktu atkritumu blīvums pirms saspiešanas, kg/m3</t>
  </si>
  <si>
    <t>Pārtikas atkritumu blīvums pirms saspiešanas, kg/m3</t>
  </si>
  <si>
    <t>Dārza atkritumu blīvums pirms saspiešanas, kg/m3</t>
  </si>
  <si>
    <t>Maksa par bioloģisko atkritumu apsaimniekošanu, EUR/t</t>
  </si>
  <si>
    <t>Pārtikas atkritumu īpatsvars nešķirotu mājsaimniecības atkritumu masā</t>
  </si>
  <si>
    <t>Bioloģisko atkritumu apsaimniekošanas maksa pret sadzīves atkritumu apsaimniekošanas maksu</t>
  </si>
  <si>
    <t>Bioloģisko atkritumu īpatsvars nešķirotu sadzīves atkritumu masā</t>
  </si>
  <si>
    <t>Izmantotie koeficienti</t>
  </si>
  <si>
    <t>Aknīstes novads 1</t>
  </si>
  <si>
    <t>Aknīstes novads 2</t>
  </si>
  <si>
    <t>Balvu novads 1</t>
  </si>
  <si>
    <t>Balvu novads 2</t>
  </si>
  <si>
    <t>Ķeguma novads 1</t>
  </si>
  <si>
    <t>Ķeguma novads 2</t>
  </si>
  <si>
    <t>Madonas novads 1</t>
  </si>
  <si>
    <t>Madonas novads 2</t>
  </si>
  <si>
    <t>Ogres novads 1</t>
  </si>
  <si>
    <t>Ogres novads 2</t>
  </si>
  <si>
    <t>Liepāja (Ziemeļu daļa)</t>
  </si>
  <si>
    <t>Liepāja (Dienvidu daļa)</t>
  </si>
  <si>
    <t>Pārmaksa 3 gados uz katru iedzīvotāju, EUR/iedz</t>
  </si>
  <si>
    <t>2021-2023</t>
  </si>
  <si>
    <t>Nešķiroti sadzīves atkritumi</t>
  </si>
  <si>
    <t>Pašvaldība</t>
  </si>
  <si>
    <t>SIA Atkritumu apsaimniekošanas Dienvidlatgales starppašvaldību organizācija</t>
  </si>
  <si>
    <t>SIA ALAAS</t>
  </si>
  <si>
    <t>SIA Marss</t>
  </si>
  <si>
    <t>SIA Jelgavas novada KU</t>
  </si>
  <si>
    <t>SIA Līvānu Dzīvokļu un komunālā saimniecība</t>
  </si>
  <si>
    <t>SIA Ludzas apsaimniekotajās</t>
  </si>
  <si>
    <t>SIA Vilkme</t>
  </si>
  <si>
    <t>Pilnsabiedrība JKP</t>
  </si>
  <si>
    <t>SIA Ventspils labiekārtošanas kombināts</t>
  </si>
  <si>
    <t>SIA Dobeles komunālie pakalpojumi</t>
  </si>
  <si>
    <t>SIA „Dzīvokļu komunālā saimniecība</t>
  </si>
  <si>
    <t>SIA Krāslavas nami</t>
  </si>
  <si>
    <t>SIA Kuldīgas komunālie pakalpojumi</t>
  </si>
  <si>
    <t>SIA Madonas namsaimnieks</t>
  </si>
  <si>
    <t>SIA Bērzaunes komunālais uzņēmums</t>
  </si>
  <si>
    <t>SIA „Preiļu saimnieks</t>
  </si>
  <si>
    <t>SIA Vīgants</t>
  </si>
  <si>
    <t>Sadzīves atkritumu maksa</t>
  </si>
  <si>
    <t>Pārrēķins EUR/m3 -&gt; EUR/t</t>
  </si>
  <si>
    <t>Bioloģisko atkritumu maksa</t>
  </si>
  <si>
    <t>Pievienotās vērtības nodoklis</t>
  </si>
  <si>
    <t>Atkritumu apsaimniekošanas maksa, t.sk. PVN, no 2021.gada 1.janvāra un atkritumu apsaimniekošanas pakalpojumu sniedzošais uzņēmums</t>
  </si>
  <si>
    <t>Avots: CSB, Iedzīvotāju skaits gada sākumā, tā izmaiņas un dabiskās kustības galvenie rādītāji reģionos, republikas pilsētās, novadu pilsētās un novados - Rādītāji, Teritoriālā vienība un Laika periods, https://data.stat.gov.lv/pxweb/lv/OSP_PUB/START__POP__IR__IRS/IRS030/table/tableViewLayout1/</t>
  </si>
  <si>
    <t>Platība, km2</t>
  </si>
  <si>
    <t>CSB</t>
  </si>
  <si>
    <t xml:space="preserve">Iedzīvotāju kopskaits statistiskajos reģionos gada sākumā: </t>
  </si>
  <si>
    <t>Iedzīvotāju īpatsvars Rīgas rajonos</t>
  </si>
  <si>
    <t xml:space="preserve">Iedzīvotāju skaits un tā sadalījums sešos Rīgas pilsētas rajonos </t>
  </si>
  <si>
    <t>Avots: https://data.europa.eu/data/datasets/593b3a12-c60d-4c7e-904b-312f876d7bb0?locale=lv</t>
  </si>
  <si>
    <t>RĪGA, 2021.gada 1.janvāris</t>
  </si>
  <si>
    <t>IKP faktiskajās cenās, tūkst.EUR</t>
  </si>
  <si>
    <t>APRĒĶINS, IZMANTOJOT VĒSTURISKOS DATUS PAR IKP UN IEDZ.SK.</t>
  </si>
  <si>
    <t>Latvijas IKP</t>
  </si>
  <si>
    <t>Iedz.skaits Latvijā</t>
  </si>
  <si>
    <t>https://www.makroekonomika.lv/latvijas-banka-parskata-latvijas-makroekonomiskas-prognozes-0</t>
  </si>
  <si>
    <t>CSB, IKP030. Iekšzemes kopprodukts no izlietojuma aspekta (tūkst. eiro)</t>
  </si>
  <si>
    <t>CSB, IKP040. Iekšzemes kopprodukts no ienākumu puses, faktiskajās cenās (tūkst. eiro)</t>
  </si>
  <si>
    <t>CSB, IKR010. Iekšzemes kopprodukts reģionos un republikas pilsētās (faktiskajās cenās) - Teritoriālā vienība, Rādītājs un Laika periods [no ražošanas aspekta]</t>
  </si>
  <si>
    <t>CSB, IKP010. Iekšzemes kopprodukts uz vienu iedzīvotāju</t>
  </si>
  <si>
    <t>IKP no izlietojuma aspekta, tūkst. eiro</t>
  </si>
  <si>
    <t>IKP no ienākumu puses, faktiskajās cenās, tūkst. eiro</t>
  </si>
  <si>
    <t>IKP no ražošanas aspekta (faktiskajās cenās), tūkst.EUR</t>
  </si>
  <si>
    <t>IKP uz vienu iedzīvotāju, EUR/ied</t>
  </si>
  <si>
    <t>VĒSTURISKIE DATI</t>
  </si>
  <si>
    <t>Saite</t>
  </si>
  <si>
    <t>CSB, Iedzīvotāju skaits gada sākumā, tā izmaiņas un dabiskās kustības galvenie rādītāji reģionos, republikas pilsētās, novadu pilsētās un novados - Rādītāji, Teritoriālā vienība un Laika periods,</t>
  </si>
  <si>
    <t>Pārbaude: aprēķina salīdzināšana ar Latvijas IKP</t>
  </si>
  <si>
    <t>Iedzīvotāju skaits pilsētās un statistiskajos reģionos gada sākumā</t>
  </si>
  <si>
    <t>IKP uz iedz pilsētās un reģionos, tūkst.EUR/iedz</t>
  </si>
  <si>
    <t>PILSĒTĀS UN STATISTISKAJOS REĢIONOS</t>
  </si>
  <si>
    <t>RĪGAS RAJONOS (ATKRITUMU APSAIMNIEKOŠANAS ZONĀS)</t>
  </si>
  <si>
    <t>IKP, tūkst.EUR</t>
  </si>
  <si>
    <t>Pārbaude: aprēķina salīdzināšana ar Rīgas IKP</t>
  </si>
  <si>
    <t xml:space="preserve"> </t>
  </si>
  <si>
    <t>Iekšzemes kopprodukts</t>
  </si>
  <si>
    <t>Iekšzemes kopprodukts pašvaldībās</t>
  </si>
  <si>
    <t>Radītais mājsaimniecības sadzīves atkritumu daudzums</t>
  </si>
  <si>
    <t>Radītais mājsaimniecības sadzīves atkritumu daudzums, tonnas</t>
  </si>
  <si>
    <t>IKP no izlietojuma aspekta, faktiskajās cenās, tūkst.EUR</t>
  </si>
  <si>
    <t>Radītais mājsaimniecības sadzīves atkritumu daudzums uz katru IKP euro, kg/EUR</t>
  </si>
  <si>
    <t>https://ec.europa.eu/eurostat/databrowser/view/env_wasmun/default/table?lang=en
https://www.meteo.lv/lapas/vide/atkritumi/atkritumu-statistikas-apkopojumi/atkritumu-statistikas-apkopojumi?id=1713&amp;nid=380</t>
  </si>
  <si>
    <t>Avots</t>
  </si>
  <si>
    <t>Radītais mājsaimniecības sadzīves atkritumu daudzums, tonnas/gadā</t>
  </si>
  <si>
    <t>Radītais mājsaimniecību bioloģisko atkritumu daudzums nešķirotu atkritumu masā, tonnas/gadā</t>
  </si>
  <si>
    <t>Nešķirotu sadzīves atkritumu apsaimniekošanas maksa ar PVN, EUR/t</t>
  </si>
  <si>
    <t>Bioloģisko atkritumu apsaimniekošanas maksa ar PVN, EUR/t</t>
  </si>
  <si>
    <t>Prognozētā summa, kas tiks samaksāta par nešķirotu sadzīves atkritumu apsaimniekošanu, neieviešot bioloģisko atkritumu šķirošanu, EUR</t>
  </si>
  <si>
    <t>Prognozētā summa, kas tiktu samaksāta par sadzīves atkritumu apsaimniekošanu, ieviešot bioloģisko atkritumu šķirošanu, EUR</t>
  </si>
  <si>
    <t>Potenciāli zaudētie ienākumi, EUR</t>
  </si>
  <si>
    <t>Potenciāli zaudētie ienākumi 3 gados kopā, EUR</t>
  </si>
  <si>
    <t>APRĒĶINS: Potenciāli zaudētie ienākumi</t>
  </si>
  <si>
    <t>Teritoriālā vienība</t>
  </si>
  <si>
    <t>Nešķirotu sadzīves atkritumu īpatsvars no kopējiem radītajiem sadzīves atkritumiem</t>
  </si>
  <si>
    <t>Citu bioloģisko (dārza) atkritumu īpatsvars nešķirotu mājsaimniecības atkritumu masā</t>
  </si>
  <si>
    <t>Latvia</t>
  </si>
  <si>
    <t>Valsts</t>
  </si>
  <si>
    <t>Novads</t>
  </si>
  <si>
    <t>AAR pirms reformas</t>
  </si>
  <si>
    <t>AAR pēc reformas</t>
  </si>
  <si>
    <t>Latgales</t>
  </si>
  <si>
    <t>Viduslatvijas</t>
  </si>
  <si>
    <t>Vidzemes</t>
  </si>
  <si>
    <t>Ziemeļkurzemes</t>
  </si>
  <si>
    <t>Dienvidkurzemes novads</t>
  </si>
  <si>
    <t>Valmieras novads</t>
  </si>
  <si>
    <t>Augšdaugavas novads</t>
  </si>
  <si>
    <t>IS_2021</t>
  </si>
  <si>
    <t>IS_2022</t>
  </si>
  <si>
    <t>IS_2023</t>
  </si>
  <si>
    <t>SA_2021</t>
  </si>
  <si>
    <t>SA_2022</t>
  </si>
  <si>
    <t>SA_2023</t>
  </si>
  <si>
    <t>BA_2021</t>
  </si>
  <si>
    <t>BA_2022</t>
  </si>
  <si>
    <t>BA_2023</t>
  </si>
  <si>
    <t>Sum of IS_2021</t>
  </si>
  <si>
    <t>Sum of IS_2022</t>
  </si>
  <si>
    <t>Sum of IS_2023</t>
  </si>
  <si>
    <t>Sum of SA_2021</t>
  </si>
  <si>
    <t>Sum of SA_2022</t>
  </si>
  <si>
    <t>Sum of SA_2023</t>
  </si>
  <si>
    <t>Sum of BA_2021</t>
  </si>
  <si>
    <t>Sum of BA_2022</t>
  </si>
  <si>
    <t>Sum of BA_2023</t>
  </si>
  <si>
    <t>Rīga visas zonas kopā</t>
  </si>
  <si>
    <t>Tonnas</t>
  </si>
  <si>
    <t>Projekta nosaukums</t>
  </si>
  <si>
    <t>Plānotās pārstrādes jaudas</t>
  </si>
  <si>
    <t>Projekta noslēguma laiks</t>
  </si>
  <si>
    <t>“Bioloģiski noārdāmo atkritumu pārstrādes iekārtu izveide poligonā “Cinīši””</t>
  </si>
  <si>
    <t>Plānotā pārstrādes neto jauda 18 500 tūkst. t/gadā (iekārtā ievietojamais BNA plūsmas apjoms ~ 19,0 tūkst. t/gadā, apglabājamie atkritumi pēc pārstrādes ~0,5 tūkst. t/gadā).</t>
  </si>
  <si>
    <t>Projekta noslēguma laiks: 31                Oktobris               2023</t>
  </si>
  <si>
    <t>Bioloģiski noārdāmo atkritumu pārstrādes iekārtas izveide poligonā “Getliņi”</t>
  </si>
  <si>
    <t>Plānotā pārstrādes neto jauda vismaz 100 000 tūkst. t/gadā (iekārtā ievietojamais BNA plūsmas apjoms 125 tūkst. t/gadā, apglabājamie atkritumi pēc pārstrādes ~25 tūkst. t/gadā).</t>
  </si>
  <si>
    <t>Projekta noslēguma laiks: 30                Septembris         2021</t>
  </si>
  <si>
    <t>"Divu fāzu sausās anaerobas fermentācijas sistēmas izveide poligonā “Ķīvītes” organisko atkritumu pārstrādei"</t>
  </si>
  <si>
    <t>21 000 t/gadā.</t>
  </si>
  <si>
    <t>Nav norādīts (nav detalizētas info KPVIS)</t>
  </si>
  <si>
    <t>“Tādu bioloģiski noārdāmo atkritumu pārstrādes iekārtu izveide poligonā “Brakšķi”, kas izmanto anaerobo pārstrādes metodi”</t>
  </si>
  <si>
    <t>Plānotā pārstrādes neto jauda 17 000 tūkst. t/gadā (iekārtā ievietojamais BNA plūsmas apjoms ~20.0 tūkst. t/gadā, apglabājamie atkritumi pēc pārstrādes ~3 tūkst. t/gadā).</t>
  </si>
  <si>
    <t>“Tādu bioloģiski noārdāmo atkritumu pārstrādes iekārtu izveide poligonā “Janvāri”, kas izmanto anaerobo pārstrādes metodi”</t>
  </si>
  <si>
    <t>Iekārtas tehnoloģiskais risinājums un pārstrādes jauda – nepārtrauktās plūsmas sausā anaerobā fermentācija, jauda (ievadītā) ~18500 tonnu gadā. Neto pārstrādes jauda vismaz 16 500 tonnas gadā.</t>
  </si>
  <si>
    <t>Bioloģiski noārdāmo atkritumu pārstrādes rūpnīcas "Daibe" izveide</t>
  </si>
  <si>
    <t>Plānotā BNA pārstrādes iekārtu kompleksa jauda 20 854 t/gadā (Iekārtā ievadītais atkritumu apjoms 29 693 t/gadā, apglabājamie atkritumi pēc pārstrādes 8 839 t/gadā.</t>
  </si>
  <si>
    <t>Projekta noslēguma laiks: 31                Decembris          2023</t>
  </si>
  <si>
    <t>Sum of 2030</t>
  </si>
  <si>
    <t>PIEŅĒMUMS</t>
  </si>
  <si>
    <t>IS_2030</t>
  </si>
  <si>
    <t>Pirms novadu reformas</t>
  </si>
  <si>
    <t>SA_2030</t>
  </si>
  <si>
    <t>BA_2030</t>
  </si>
  <si>
    <t>Sum of IS_2030</t>
  </si>
  <si>
    <t>Sum of IS_20212</t>
  </si>
  <si>
    <t>Sum of IS_20222</t>
  </si>
  <si>
    <t>Sum of IS_20232</t>
  </si>
  <si>
    <t>Sum of IS_20302</t>
  </si>
  <si>
    <t>Sum of SA_2030</t>
  </si>
  <si>
    <t>Sum of BA_2030</t>
  </si>
  <si>
    <t>SAP/RAAC</t>
  </si>
  <si>
    <t>SAP Ķīvītes</t>
  </si>
  <si>
    <t>SAP Cinīši</t>
  </si>
  <si>
    <t>RAAC Dziļā vāda</t>
  </si>
  <si>
    <t>RAAC Križevņiki</t>
  </si>
  <si>
    <t>SAP Getliņi</t>
  </si>
  <si>
    <t>SAP Brakšķi</t>
  </si>
  <si>
    <t>SAP Daibe</t>
  </si>
  <si>
    <t>RAAC Kaudzītes</t>
  </si>
  <si>
    <t>SAP Janvāri</t>
  </si>
  <si>
    <t>RAAC Pentuļi</t>
  </si>
  <si>
    <t>Atkritumu apsaimniekošanas reģioni no 2024.gada</t>
  </si>
  <si>
    <t>Nodots ekspluatācijā, gads</t>
  </si>
  <si>
    <t>Nodots/plānots nodot ekspluatācijā, gads/datums</t>
  </si>
  <si>
    <t>Uzstādītā un plānotā BA anaerobās pārstrādes neto jauda, tonnas/gadā</t>
  </si>
  <si>
    <t>Kompostēšanas laukumu pārstrādes jauda, tonnas/gadā</t>
  </si>
  <si>
    <t>30.09.2021</t>
  </si>
  <si>
    <t>31.10.2023</t>
  </si>
  <si>
    <t>31.12.2023</t>
  </si>
  <si>
    <t>2012</t>
  </si>
  <si>
    <t>Digestāta stabilizēšanai</t>
  </si>
  <si>
    <t>Kompostēšanas laukuma paredzētais izmantošanas mērķis</t>
  </si>
  <si>
    <t>BNA kompostēšanai</t>
  </si>
  <si>
    <t xml:space="preserve">Dalīti savākto BNA pārstrādei </t>
  </si>
  <si>
    <t>Zaļo dārzu un parku atkritumu kompostēšanai</t>
  </si>
  <si>
    <t xml:space="preserve">Mehāniski atdalīto un dalīti savākto BNA pārstrādei </t>
  </si>
  <si>
    <t>Dalīti savākto BNA pārstrādei/Digestāta stabilizēšanai</t>
  </si>
  <si>
    <t>Uzstādītās un plānotās bioloģisko atkritumu pārstrādes jaudas</t>
  </si>
  <si>
    <r>
      <t>Kompostēšanas laukuma platība, m</t>
    </r>
    <r>
      <rPr>
        <b/>
        <vertAlign val="superscript"/>
        <sz val="10"/>
        <color theme="1"/>
        <rFont val="Calibri"/>
        <family val="2"/>
        <scheme val="minor"/>
      </rPr>
      <t>2</t>
    </r>
  </si>
  <si>
    <t>AAR</t>
  </si>
  <si>
    <t>Atkritumu apsaimniekošanas reģioni līdz 2023.gada beigām</t>
  </si>
  <si>
    <t>SAP/RAAC kopējā BA pārstrādes neto jauda, tonnas/gadā</t>
  </si>
  <si>
    <t>AAR kopējā BA pārstrādes neto jauda, tonnas/gadā</t>
  </si>
  <si>
    <t>Radītais mājsaimniecības bioloģisko atkritumu daudzums 2030.gadā</t>
  </si>
  <si>
    <t>APRĒĶINS: Radītais mājsaimniecības bioloģisko atkritumu daudzums novados un AAR 2030.gadā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</si>
</sst>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7" x14ac:knownFonts="1">
    <font>
      <sz val="11"/>
      <color theme="1"/>
      <name val="Calibri"/>
      <family val="2"/>
      <charset val="186"/>
      <scheme val="minor"/>
    </font>
    <font>
      <sz val="10"/>
      <color rgb="FF000000"/>
      <name val="Times New Roman"/>
      <family val="1"/>
    </font>
    <font>
      <b/>
      <sz val="11"/>
      <color rgb="FF000000"/>
      <name val="Calibri"/>
      <family val="2"/>
    </font>
    <font>
      <u/>
      <sz val="11"/>
      <color theme="10"/>
      <name val="Calibri"/>
      <family val="2"/>
      <charset val="186"/>
      <scheme val="minor"/>
    </font>
    <font>
      <sz val="8"/>
      <name val="Calibri"/>
      <family val="2"/>
      <charset val="186"/>
      <scheme val="minor"/>
    </font>
    <font>
      <sz val="11"/>
      <color rgb="FFFF0000"/>
      <name val="Calibri"/>
      <family val="2"/>
      <charset val="186"/>
      <scheme val="minor"/>
    </font>
    <font>
      <b/>
      <sz val="11"/>
      <color theme="1"/>
      <name val="Calibri"/>
      <family val="2"/>
      <scheme val="minor"/>
    </font>
    <font>
      <sz val="11"/>
      <color rgb="FF000000"/>
      <name val="Calibri"/>
      <family val="2"/>
    </font>
    <font>
      <sz val="8"/>
      <color rgb="FF222222"/>
      <name val="Tahoma"/>
      <family val="2"/>
      <charset val="186"/>
    </font>
    <font>
      <sz val="11"/>
      <color rgb="FFFF0000"/>
      <name val="Calibri"/>
      <family val="2"/>
      <scheme val="minor"/>
    </font>
    <font>
      <sz val="9"/>
      <color indexed="81"/>
      <name val="Tahoma"/>
      <family val="2"/>
    </font>
    <font>
      <b/>
      <sz val="9"/>
      <color indexed="81"/>
      <name val="Tahoma"/>
      <family val="2"/>
    </font>
    <font>
      <sz val="11"/>
      <name val="Calibri"/>
      <family val="2"/>
      <charset val="186"/>
      <scheme val="minor"/>
    </font>
    <font>
      <sz val="11"/>
      <name val="Calibri"/>
      <family val="2"/>
    </font>
    <font>
      <sz val="11"/>
      <name val="Calibri"/>
      <family val="2"/>
      <scheme val="minor"/>
    </font>
    <font>
      <u/>
      <sz val="11"/>
      <name val="Calibri"/>
      <family val="2"/>
      <scheme val="minor"/>
    </font>
    <font>
      <sz val="11"/>
      <color rgb="FF00B0F0"/>
      <name val="Calibri"/>
      <family val="2"/>
      <charset val="186"/>
      <scheme val="minor"/>
    </font>
    <font>
      <sz val="11"/>
      <color rgb="FF000000"/>
      <name val="Calibri"/>
      <family val="2"/>
      <charset val="186"/>
      <scheme val="minor"/>
    </font>
    <font>
      <b/>
      <sz val="11"/>
      <color rgb="FF000000"/>
      <name val="Calibri"/>
      <family val="2"/>
      <charset val="186"/>
      <scheme val="minor"/>
    </font>
    <font>
      <b/>
      <sz val="11"/>
      <color theme="1"/>
      <name val="Calibri"/>
      <family val="2"/>
    </font>
    <font>
      <sz val="8"/>
      <color rgb="FF000000"/>
      <name val="Tahoma"/>
      <family val="2"/>
    </font>
    <font>
      <sz val="10"/>
      <color rgb="FF000000"/>
      <name val="Calibri"/>
      <family val="2"/>
      <scheme val="minor"/>
    </font>
    <font>
      <b/>
      <sz val="10"/>
      <color rgb="FF000000"/>
      <name val="Calibri"/>
      <family val="2"/>
      <scheme val="minor"/>
    </font>
    <font>
      <i/>
      <sz val="10"/>
      <color rgb="FF000000"/>
      <name val="Calibri"/>
      <family val="2"/>
      <scheme val="minor"/>
    </font>
    <font>
      <sz val="10"/>
      <color theme="1"/>
      <name val="Calibri"/>
      <family val="2"/>
      <scheme val="minor"/>
    </font>
    <font>
      <b/>
      <i/>
      <sz val="10"/>
      <color rgb="FF000000"/>
      <name val="Calibri"/>
      <family val="2"/>
      <scheme val="minor"/>
    </font>
    <font>
      <i/>
      <sz val="10"/>
      <color theme="1"/>
      <name val="Calibri"/>
      <family val="2"/>
      <scheme val="minor"/>
    </font>
    <font>
      <sz val="10"/>
      <color rgb="FF595959"/>
      <name val="Arial"/>
      <family val="2"/>
    </font>
    <font>
      <b/>
      <sz val="11"/>
      <color rgb="FF1D3234"/>
      <name val="Arial"/>
      <family val="2"/>
    </font>
    <font>
      <b/>
      <sz val="16"/>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11"/>
      <color rgb="FF7030A0"/>
      <name val="Calibri"/>
      <family val="2"/>
      <charset val="186"/>
      <scheme val="minor"/>
    </font>
    <font>
      <b/>
      <i/>
      <sz val="10"/>
      <color theme="1"/>
      <name val="Calibri"/>
      <family val="2"/>
      <scheme val="minor"/>
    </font>
    <font>
      <b/>
      <sz val="11"/>
      <color theme="1"/>
      <name val="Calibri"/>
      <family val="2"/>
      <charset val="186"/>
      <scheme val="minor"/>
    </font>
    <font>
      <sz val="11"/>
      <color theme="1"/>
      <name val="Calibri"/>
      <family val="2"/>
      <scheme val="minor"/>
    </font>
    <font>
      <sz val="11"/>
      <color rgb="FF00B050"/>
      <name val="Calibri"/>
      <family val="2"/>
      <charset val="186"/>
      <scheme val="minor"/>
    </font>
    <font>
      <b/>
      <sz val="20"/>
      <color theme="1"/>
      <name val="Calibri"/>
      <family val="2"/>
      <scheme val="minor"/>
    </font>
    <font>
      <b/>
      <sz val="20"/>
      <color rgb="FF000000"/>
      <name val="Calibri"/>
      <family val="2"/>
    </font>
    <font>
      <b/>
      <sz val="10"/>
      <color rgb="FF595959"/>
      <name val="Arial"/>
      <family val="2"/>
      <charset val="186"/>
    </font>
    <font>
      <sz val="11"/>
      <color rgb="FF0070C0"/>
      <name val="Calibri"/>
      <family val="2"/>
      <charset val="186"/>
      <scheme val="minor"/>
    </font>
    <font>
      <sz val="11"/>
      <color rgb="FF00B050"/>
      <name val="Calibri"/>
      <family val="2"/>
      <scheme val="minor"/>
    </font>
    <font>
      <b/>
      <sz val="14"/>
      <color rgb="FF00B050"/>
      <name val="Calibri"/>
      <family val="2"/>
      <scheme val="minor"/>
    </font>
    <font>
      <b/>
      <sz val="10"/>
      <color rgb="FF000000"/>
      <name val="Calibri"/>
      <family val="2"/>
    </font>
    <font>
      <sz val="12"/>
      <color rgb="FF222222"/>
      <name val="Roboto"/>
    </font>
    <font>
      <b/>
      <sz val="12"/>
      <color rgb="FFFFFFFF"/>
      <name val="Roboto"/>
    </font>
    <font>
      <sz val="12"/>
      <color rgb="FF000000"/>
      <name val="Roboto"/>
    </font>
    <font>
      <b/>
      <sz val="11"/>
      <color rgb="FF7030A0"/>
      <name val="Calibri"/>
      <family val="2"/>
      <charset val="186"/>
      <scheme val="minor"/>
    </font>
    <font>
      <b/>
      <sz val="11"/>
      <color rgb="FF7030A0"/>
      <name val="Calibri"/>
      <family val="2"/>
      <scheme val="minor"/>
    </font>
    <font>
      <sz val="11"/>
      <color rgb="FF7030A0"/>
      <name val="Calibri"/>
      <family val="2"/>
      <scheme val="minor"/>
    </font>
    <font>
      <b/>
      <sz val="10"/>
      <color rgb="FF7030A0"/>
      <name val="Calibri"/>
      <family val="2"/>
      <scheme val="minor"/>
    </font>
    <font>
      <sz val="10"/>
      <color rgb="FF7030A0"/>
      <name val="Calibri"/>
      <family val="2"/>
      <scheme val="minor"/>
    </font>
    <font>
      <i/>
      <sz val="10"/>
      <color rgb="FF7030A0"/>
      <name val="Calibri"/>
      <family val="2"/>
      <scheme val="minor"/>
    </font>
    <font>
      <b/>
      <sz val="10"/>
      <name val="Calibri"/>
      <family val="2"/>
    </font>
    <font>
      <b/>
      <vertAlign val="superscript"/>
      <sz val="10"/>
      <color theme="1"/>
      <name val="Calibri"/>
      <family val="2"/>
      <scheme val="minor"/>
    </font>
    <font>
      <b/>
      <sz val="12"/>
      <color rgb="FF000000"/>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4472C4"/>
        <bgColor indexed="64"/>
      </patternFill>
    </fill>
    <fill>
      <patternFill patternType="solid">
        <fgColor rgb="FFB4C6E7"/>
        <bgColor indexed="64"/>
      </patternFill>
    </fill>
    <fill>
      <patternFill patternType="solid">
        <fgColor rgb="FFD9E2F3"/>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style="medium">
        <color rgb="FFFFFFFF"/>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s>
  <cellStyleXfs count="4">
    <xf numFmtId="0" fontId="0" fillId="0" borderId="0"/>
    <xf numFmtId="0" fontId="1" fillId="0" borderId="0"/>
    <xf numFmtId="0" fontId="3" fillId="0" borderId="0" applyNumberFormat="0" applyFill="0" applyBorder="0" applyAlignment="0" applyProtection="0"/>
    <xf numFmtId="0" fontId="7" fillId="0" borderId="0" applyNumberFormat="0" applyBorder="0" applyAlignment="0"/>
  </cellStyleXfs>
  <cellXfs count="276">
    <xf numFmtId="0" fontId="0" fillId="0" borderId="0" xfId="0"/>
    <xf numFmtId="0" fontId="0" fillId="2" borderId="1" xfId="0" applyFill="1" applyBorder="1"/>
    <xf numFmtId="0" fontId="6" fillId="2" borderId="1" xfId="0" applyFont="1" applyFill="1" applyBorder="1" applyAlignment="1">
      <alignment wrapText="1"/>
    </xf>
    <xf numFmtId="0" fontId="0" fillId="3" borderId="1" xfId="0" applyFill="1" applyBorder="1"/>
    <xf numFmtId="0" fontId="0" fillId="3" borderId="0" xfId="0" applyFill="1"/>
    <xf numFmtId="0" fontId="6" fillId="3" borderId="1" xfId="0" applyFont="1" applyFill="1" applyBorder="1" applyAlignment="1">
      <alignment wrapText="1"/>
    </xf>
    <xf numFmtId="0" fontId="6" fillId="3" borderId="0" xfId="0" applyFont="1" applyFill="1" applyAlignment="1">
      <alignment wrapText="1"/>
    </xf>
    <xf numFmtId="0" fontId="2" fillId="3" borderId="1" xfId="0" applyFont="1" applyFill="1" applyBorder="1"/>
    <xf numFmtId="0" fontId="7" fillId="3" borderId="1" xfId="0" applyFont="1" applyFill="1" applyBorder="1"/>
    <xf numFmtId="0" fontId="3" fillId="3" borderId="1" xfId="2" applyFill="1" applyBorder="1"/>
    <xf numFmtId="2" fontId="0" fillId="3" borderId="1" xfId="0" applyNumberFormat="1" applyFill="1" applyBorder="1"/>
    <xf numFmtId="0" fontId="0" fillId="3" borderId="1" xfId="0" applyFill="1" applyBorder="1" applyAlignment="1"/>
    <xf numFmtId="2" fontId="1" fillId="3" borderId="1" xfId="1" applyNumberFormat="1" applyFill="1" applyBorder="1" applyAlignment="1">
      <alignment horizontal="left" vertical="top"/>
    </xf>
    <xf numFmtId="0" fontId="3" fillId="3" borderId="1" xfId="2" applyFill="1" applyBorder="1" applyAlignment="1">
      <alignment horizontal="left" vertical="top"/>
    </xf>
    <xf numFmtId="0" fontId="13" fillId="3" borderId="1" xfId="0" applyFont="1" applyFill="1" applyBorder="1"/>
    <xf numFmtId="0" fontId="14" fillId="3" borderId="1" xfId="0" applyFont="1" applyFill="1" applyBorder="1"/>
    <xf numFmtId="0" fontId="15" fillId="3" borderId="1" xfId="2" applyFont="1" applyFill="1" applyBorder="1"/>
    <xf numFmtId="0" fontId="9" fillId="3" borderId="0" xfId="0" applyFont="1" applyFill="1"/>
    <xf numFmtId="0" fontId="5" fillId="3" borderId="1" xfId="0" applyFont="1" applyFill="1" applyBorder="1"/>
    <xf numFmtId="0" fontId="6" fillId="3" borderId="1" xfId="0" applyFont="1" applyFill="1" applyBorder="1"/>
    <xf numFmtId="0" fontId="2" fillId="3" borderId="0" xfId="0" applyFont="1" applyFill="1"/>
    <xf numFmtId="0" fontId="1" fillId="3" borderId="0" xfId="1" applyFill="1" applyBorder="1" applyAlignment="1">
      <alignment horizontal="center" vertical="top" wrapText="1"/>
    </xf>
    <xf numFmtId="0" fontId="3" fillId="3" borderId="0" xfId="2" applyFill="1"/>
    <xf numFmtId="0" fontId="33" fillId="3" borderId="1" xfId="0" applyFont="1" applyFill="1" applyBorder="1" applyAlignment="1">
      <alignment horizontal="left"/>
    </xf>
    <xf numFmtId="0" fontId="2" fillId="3" borderId="4" xfId="0" applyFont="1" applyFill="1" applyBorder="1"/>
    <xf numFmtId="0" fontId="7" fillId="3" borderId="4" xfId="0" applyFont="1" applyFill="1" applyBorder="1"/>
    <xf numFmtId="2" fontId="0" fillId="3" borderId="4" xfId="0" applyNumberFormat="1" applyFill="1" applyBorder="1"/>
    <xf numFmtId="0" fontId="0" fillId="3" borderId="4" xfId="0" applyFill="1" applyBorder="1"/>
    <xf numFmtId="0" fontId="2" fillId="3" borderId="5" xfId="0" applyFont="1" applyFill="1" applyBorder="1"/>
    <xf numFmtId="0" fontId="7" fillId="3" borderId="5" xfId="0" applyFont="1" applyFill="1" applyBorder="1"/>
    <xf numFmtId="0" fontId="0" fillId="3" borderId="5" xfId="0" applyFill="1" applyBorder="1"/>
    <xf numFmtId="0" fontId="3" fillId="3" borderId="5" xfId="2" applyFill="1" applyBorder="1"/>
    <xf numFmtId="2" fontId="0" fillId="3" borderId="5" xfId="0" applyNumberFormat="1" applyFill="1" applyBorder="1"/>
    <xf numFmtId="2" fontId="37" fillId="3" borderId="4" xfId="0" applyNumberFormat="1" applyFont="1" applyFill="1" applyBorder="1"/>
    <xf numFmtId="2" fontId="37" fillId="3" borderId="1" xfId="0" applyNumberFormat="1" applyFont="1" applyFill="1" applyBorder="1"/>
    <xf numFmtId="2" fontId="1" fillId="3" borderId="1" xfId="1" applyNumberFormat="1" applyFill="1" applyBorder="1" applyAlignment="1">
      <alignment horizontal="center" vertical="top" wrapText="1"/>
    </xf>
    <xf numFmtId="2" fontId="14" fillId="3" borderId="1" xfId="0" applyNumberFormat="1" applyFont="1" applyFill="1" applyBorder="1"/>
    <xf numFmtId="2" fontId="12" fillId="3" borderId="1" xfId="0" applyNumberFormat="1" applyFont="1" applyFill="1" applyBorder="1"/>
    <xf numFmtId="2" fontId="16" fillId="3" borderId="1" xfId="0" applyNumberFormat="1" applyFont="1" applyFill="1" applyBorder="1"/>
    <xf numFmtId="0" fontId="38" fillId="3" borderId="0" xfId="0" applyFont="1" applyFill="1"/>
    <xf numFmtId="0" fontId="38" fillId="3" borderId="0" xfId="0" applyFont="1" applyFill="1" applyBorder="1"/>
    <xf numFmtId="0" fontId="0" fillId="3" borderId="0" xfId="0" applyFill="1" applyBorder="1"/>
    <xf numFmtId="0" fontId="6" fillId="3" borderId="0" xfId="0" applyFont="1" applyFill="1" applyBorder="1" applyAlignment="1"/>
    <xf numFmtId="0" fontId="6" fillId="3" borderId="0" xfId="0" applyFont="1" applyFill="1" applyBorder="1" applyAlignment="1">
      <alignment horizontal="center" wrapText="1"/>
    </xf>
    <xf numFmtId="0" fontId="6" fillId="3" borderId="0" xfId="0" applyFont="1" applyFill="1" applyBorder="1" applyAlignment="1">
      <alignment wrapText="1"/>
    </xf>
    <xf numFmtId="0" fontId="3" fillId="3" borderId="4" xfId="2" applyFill="1" applyBorder="1"/>
    <xf numFmtId="0" fontId="33" fillId="3" borderId="4" xfId="0" applyFont="1" applyFill="1" applyBorder="1" applyAlignment="1">
      <alignment horizontal="left"/>
    </xf>
    <xf numFmtId="0" fontId="19" fillId="3" borderId="0" xfId="0" applyFont="1" applyFill="1" applyAlignment="1">
      <alignment wrapText="1"/>
    </xf>
    <xf numFmtId="0" fontId="8" fillId="3" borderId="1" xfId="0" applyFont="1" applyFill="1" applyBorder="1" applyAlignment="1">
      <alignment horizontal="left" vertical="center" wrapText="1"/>
    </xf>
    <xf numFmtId="0" fontId="6" fillId="2" borderId="1" xfId="0" applyFont="1" applyFill="1" applyBorder="1" applyAlignment="1"/>
    <xf numFmtId="0" fontId="6" fillId="2" borderId="1" xfId="0" applyFont="1" applyFill="1" applyBorder="1" applyAlignment="1">
      <alignment horizontal="center" wrapText="1"/>
    </xf>
    <xf numFmtId="0" fontId="6" fillId="2" borderId="6" xfId="0" applyFont="1" applyFill="1" applyBorder="1" applyAlignment="1">
      <alignment wrapText="1"/>
    </xf>
    <xf numFmtId="0" fontId="7" fillId="3" borderId="0" xfId="3" applyFill="1"/>
    <xf numFmtId="0" fontId="2" fillId="3" borderId="0" xfId="3" applyFont="1" applyFill="1"/>
    <xf numFmtId="0" fontId="18" fillId="3" borderId="0" xfId="0" applyFont="1" applyFill="1"/>
    <xf numFmtId="0" fontId="7" fillId="3" borderId="0" xfId="3" applyFill="1" applyAlignment="1"/>
    <xf numFmtId="0" fontId="0" fillId="3" borderId="0" xfId="0" applyFill="1" applyAlignment="1">
      <alignment horizontal="left"/>
    </xf>
    <xf numFmtId="0" fontId="0" fillId="3" borderId="0" xfId="0" applyNumberFormat="1" applyFill="1"/>
    <xf numFmtId="0" fontId="39" fillId="3" borderId="0" xfId="3" applyFont="1" applyFill="1"/>
    <xf numFmtId="0" fontId="2" fillId="3" borderId="1" xfId="3" applyFont="1" applyFill="1" applyBorder="1"/>
    <xf numFmtId="0" fontId="7" fillId="3" borderId="1" xfId="3" applyFill="1" applyBorder="1"/>
    <xf numFmtId="0" fontId="7" fillId="3" borderId="1" xfId="3" applyFill="1" applyBorder="1" applyAlignment="1">
      <alignment wrapText="1"/>
    </xf>
    <xf numFmtId="0" fontId="13" fillId="3" borderId="1" xfId="3" applyFont="1" applyFill="1" applyBorder="1" applyAlignment="1">
      <alignment wrapText="1"/>
    </xf>
    <xf numFmtId="0" fontId="7" fillId="2" borderId="1" xfId="3" applyFill="1" applyBorder="1"/>
    <xf numFmtId="0" fontId="2" fillId="2" borderId="1" xfId="3" applyFont="1" applyFill="1" applyBorder="1"/>
    <xf numFmtId="1" fontId="7" fillId="3" borderId="1" xfId="3" applyNumberFormat="1" applyFill="1" applyBorder="1"/>
    <xf numFmtId="0" fontId="7" fillId="3" borderId="1" xfId="3" applyFont="1" applyFill="1" applyBorder="1"/>
    <xf numFmtId="0" fontId="17" fillId="3" borderId="1" xfId="0" applyFont="1" applyFill="1" applyBorder="1"/>
    <xf numFmtId="0" fontId="0" fillId="3" borderId="0" xfId="0" applyFont="1" applyFill="1"/>
    <xf numFmtId="0" fontId="0" fillId="3" borderId="1" xfId="0" applyFont="1" applyFill="1" applyBorder="1"/>
    <xf numFmtId="0" fontId="0" fillId="3" borderId="1" xfId="0" applyFont="1" applyFill="1" applyBorder="1" applyAlignment="1">
      <alignment horizontal="left" wrapText="1"/>
    </xf>
    <xf numFmtId="0" fontId="0" fillId="3" borderId="1" xfId="0" applyFont="1" applyFill="1" applyBorder="1" applyAlignment="1">
      <alignment horizontal="right" wrapText="1"/>
    </xf>
    <xf numFmtId="164" fontId="0" fillId="3" borderId="1" xfId="0" applyNumberFormat="1" applyFont="1" applyFill="1" applyBorder="1"/>
    <xf numFmtId="0" fontId="35" fillId="3" borderId="1" xfId="0" applyFont="1" applyFill="1" applyBorder="1" applyAlignment="1">
      <alignment horizontal="left" wrapText="1"/>
    </xf>
    <xf numFmtId="0" fontId="35" fillId="3" borderId="1" xfId="0" applyFont="1" applyFill="1" applyBorder="1" applyAlignment="1">
      <alignment horizontal="right" wrapText="1"/>
    </xf>
    <xf numFmtId="0" fontId="35" fillId="2" borderId="1" xfId="0" applyFont="1" applyFill="1" applyBorder="1" applyAlignment="1">
      <alignment horizontal="center" vertical="center" wrapText="1"/>
    </xf>
    <xf numFmtId="0" fontId="36" fillId="3" borderId="0" xfId="0" applyFont="1" applyFill="1" applyBorder="1"/>
    <xf numFmtId="0" fontId="27" fillId="3" borderId="0" xfId="0" applyFont="1" applyFill="1" applyAlignment="1">
      <alignment horizontal="left" vertical="center"/>
    </xf>
    <xf numFmtId="164" fontId="0" fillId="3" borderId="0" xfId="0" applyNumberFormat="1" applyFill="1"/>
    <xf numFmtId="0" fontId="0" fillId="3" borderId="0" xfId="0" applyFill="1" applyAlignment="1">
      <alignment horizontal="center"/>
    </xf>
    <xf numFmtId="0" fontId="27" fillId="3" borderId="0" xfId="0" applyFont="1" applyFill="1" applyAlignment="1">
      <alignment horizontal="center" vertical="center"/>
    </xf>
    <xf numFmtId="0" fontId="0" fillId="3" borderId="0" xfId="0" applyFill="1" applyBorder="1" applyAlignment="1"/>
    <xf numFmtId="3" fontId="16" fillId="3" borderId="0" xfId="0" applyNumberFormat="1" applyFont="1" applyFill="1"/>
    <xf numFmtId="0" fontId="22" fillId="3" borderId="0" xfId="0" applyFont="1" applyFill="1"/>
    <xf numFmtId="0" fontId="27" fillId="3" borderId="1" xfId="0" applyFont="1" applyFill="1" applyBorder="1" applyAlignment="1">
      <alignment horizontal="left" vertical="center"/>
    </xf>
    <xf numFmtId="3" fontId="0" fillId="3" borderId="1" xfId="0" applyNumberFormat="1" applyFill="1" applyBorder="1"/>
    <xf numFmtId="0" fontId="35" fillId="2" borderId="1" xfId="0" applyFont="1" applyFill="1" applyBorder="1"/>
    <xf numFmtId="0" fontId="3" fillId="3" borderId="1" xfId="2" applyFill="1" applyBorder="1" applyAlignment="1">
      <alignment horizontal="left" vertical="center"/>
    </xf>
    <xf numFmtId="0" fontId="3" fillId="3" borderId="1" xfId="2" applyFill="1" applyBorder="1" applyAlignment="1"/>
    <xf numFmtId="1" fontId="0" fillId="3" borderId="1" xfId="0" applyNumberFormat="1" applyFill="1" applyBorder="1"/>
    <xf numFmtId="0" fontId="6" fillId="2" borderId="1" xfId="0" applyFont="1" applyFill="1" applyBorder="1" applyAlignment="1">
      <alignment horizontal="left"/>
    </xf>
    <xf numFmtId="3" fontId="37" fillId="3" borderId="1" xfId="0" applyNumberFormat="1" applyFont="1" applyFill="1" applyBorder="1"/>
    <xf numFmtId="1" fontId="37" fillId="3" borderId="1" xfId="0" applyNumberFormat="1" applyFont="1" applyFill="1" applyBorder="1"/>
    <xf numFmtId="0" fontId="37" fillId="3" borderId="1" xfId="0" applyFont="1" applyFill="1" applyBorder="1"/>
    <xf numFmtId="3" fontId="41" fillId="3" borderId="1" xfId="0" applyNumberFormat="1" applyFont="1" applyFill="1" applyBorder="1"/>
    <xf numFmtId="3" fontId="41" fillId="3" borderId="2" xfId="0" applyNumberFormat="1" applyFont="1" applyFill="1" applyBorder="1"/>
    <xf numFmtId="0" fontId="2" fillId="3" borderId="1" xfId="3" applyFont="1" applyFill="1" applyBorder="1" applyProtection="1"/>
    <xf numFmtId="0" fontId="3" fillId="3" borderId="1" xfId="2" applyFill="1" applyBorder="1" applyAlignment="1">
      <alignment wrapText="1"/>
    </xf>
    <xf numFmtId="0" fontId="22" fillId="3" borderId="1" xfId="0" applyFont="1" applyFill="1" applyBorder="1"/>
    <xf numFmtId="3" fontId="12" fillId="3" borderId="1" xfId="0" applyNumberFormat="1" applyFont="1" applyFill="1" applyBorder="1"/>
    <xf numFmtId="1" fontId="36" fillId="3" borderId="1" xfId="0" applyNumberFormat="1" applyFont="1" applyFill="1" applyBorder="1"/>
    <xf numFmtId="1" fontId="42" fillId="3" borderId="1" xfId="0" applyNumberFormat="1" applyFont="1" applyFill="1" applyBorder="1"/>
    <xf numFmtId="3" fontId="36" fillId="3" borderId="1" xfId="0" applyNumberFormat="1" applyFont="1" applyFill="1" applyBorder="1"/>
    <xf numFmtId="3" fontId="42" fillId="3" borderId="1" xfId="0" applyNumberFormat="1" applyFont="1" applyFill="1" applyBorder="1"/>
    <xf numFmtId="164" fontId="36" fillId="3" borderId="1" xfId="0" applyNumberFormat="1" applyFont="1" applyFill="1" applyBorder="1"/>
    <xf numFmtId="164" fontId="42" fillId="3" borderId="1" xfId="0" applyNumberFormat="1" applyFont="1" applyFill="1" applyBorder="1"/>
    <xf numFmtId="0" fontId="6" fillId="2" borderId="1" xfId="0" applyFont="1" applyFill="1" applyBorder="1"/>
    <xf numFmtId="0" fontId="3" fillId="0" borderId="1" xfId="2" applyBorder="1" applyAlignment="1">
      <alignment vertical="center"/>
    </xf>
    <xf numFmtId="0" fontId="24" fillId="3" borderId="0" xfId="0" applyFont="1" applyFill="1"/>
    <xf numFmtId="0" fontId="21" fillId="3" borderId="0" xfId="1" applyFont="1" applyFill="1" applyAlignment="1">
      <alignment horizontal="left" vertical="top"/>
    </xf>
    <xf numFmtId="0" fontId="31" fillId="3" borderId="0" xfId="1" applyFont="1" applyFill="1" applyAlignment="1">
      <alignment horizontal="left" vertical="top"/>
    </xf>
    <xf numFmtId="1" fontId="21" fillId="3" borderId="0" xfId="1" applyNumberFormat="1" applyFont="1" applyFill="1" applyAlignment="1">
      <alignment horizontal="left" vertical="top"/>
    </xf>
    <xf numFmtId="2" fontId="21" fillId="3" borderId="0" xfId="1" applyNumberFormat="1" applyFont="1" applyFill="1" applyAlignment="1">
      <alignment horizontal="left" vertical="top"/>
    </xf>
    <xf numFmtId="0" fontId="30" fillId="3" borderId="0" xfId="0" applyFont="1" applyFill="1"/>
    <xf numFmtId="3" fontId="21" fillId="3" borderId="0" xfId="1" applyNumberFormat="1" applyFont="1" applyFill="1" applyAlignment="1">
      <alignment horizontal="left" vertical="top"/>
    </xf>
    <xf numFmtId="0" fontId="26" fillId="3" borderId="0" xfId="0" applyFont="1" applyFill="1"/>
    <xf numFmtId="2" fontId="24" fillId="3" borderId="0" xfId="0" applyNumberFormat="1" applyFont="1" applyFill="1" applyAlignment="1">
      <alignment horizontal="left"/>
    </xf>
    <xf numFmtId="0" fontId="31" fillId="3" borderId="0" xfId="0" applyFont="1" applyFill="1"/>
    <xf numFmtId="1" fontId="21" fillId="3" borderId="0" xfId="1" applyNumberFormat="1" applyFont="1" applyFill="1" applyAlignment="1">
      <alignment horizontal="right" vertical="top"/>
    </xf>
    <xf numFmtId="2" fontId="24" fillId="3" borderId="0" xfId="0" applyNumberFormat="1" applyFont="1" applyFill="1"/>
    <xf numFmtId="0" fontId="22" fillId="2" borderId="1" xfId="1" applyFont="1" applyFill="1" applyBorder="1" applyAlignment="1">
      <alignment horizontal="center" vertical="center" wrapText="1"/>
    </xf>
    <xf numFmtId="2" fontId="5" fillId="3" borderId="1" xfId="0" applyNumberFormat="1" applyFont="1" applyFill="1" applyBorder="1"/>
    <xf numFmtId="0" fontId="22" fillId="2" borderId="2" xfId="1" applyFont="1" applyFill="1" applyBorder="1" applyAlignment="1">
      <alignment horizontal="left" vertical="top"/>
    </xf>
    <xf numFmtId="0" fontId="32" fillId="2" borderId="2" xfId="1" applyFont="1" applyFill="1" applyBorder="1" applyAlignment="1">
      <alignment horizontal="left" vertical="top"/>
    </xf>
    <xf numFmtId="0" fontId="30" fillId="2" borderId="2" xfId="0" applyFont="1" applyFill="1" applyBorder="1"/>
    <xf numFmtId="3" fontId="22" fillId="3" borderId="1" xfId="1" applyNumberFormat="1" applyFont="1" applyFill="1" applyBorder="1" applyAlignment="1">
      <alignment horizontal="left" vertical="top"/>
    </xf>
    <xf numFmtId="3" fontId="32" fillId="3" borderId="1" xfId="1" applyNumberFormat="1" applyFont="1" applyFill="1" applyBorder="1" applyAlignment="1">
      <alignment horizontal="left" vertical="top"/>
    </xf>
    <xf numFmtId="3" fontId="25" fillId="3" borderId="1" xfId="1" applyNumberFormat="1" applyFont="1" applyFill="1" applyBorder="1" applyAlignment="1">
      <alignment horizontal="left" vertical="top"/>
    </xf>
    <xf numFmtId="0" fontId="30" fillId="3" borderId="1" xfId="0" applyFont="1" applyFill="1" applyBorder="1"/>
    <xf numFmtId="3" fontId="34" fillId="3" borderId="1" xfId="0" applyNumberFormat="1" applyFont="1" applyFill="1" applyBorder="1"/>
    <xf numFmtId="2" fontId="30" fillId="3" borderId="1" xfId="0" applyNumberFormat="1" applyFont="1" applyFill="1" applyBorder="1" applyAlignment="1">
      <alignment horizontal="left"/>
    </xf>
    <xf numFmtId="0" fontId="25" fillId="3" borderId="1" xfId="0" applyFont="1" applyFill="1" applyBorder="1"/>
    <xf numFmtId="3" fontId="21" fillId="3" borderId="1" xfId="1" applyNumberFormat="1" applyFont="1" applyFill="1" applyBorder="1" applyAlignment="1">
      <alignment horizontal="left" vertical="top"/>
    </xf>
    <xf numFmtId="3" fontId="31" fillId="3" borderId="1" xfId="1" applyNumberFormat="1" applyFont="1" applyFill="1" applyBorder="1" applyAlignment="1">
      <alignment horizontal="left" vertical="top"/>
    </xf>
    <xf numFmtId="3" fontId="23" fillId="3" borderId="1" xfId="1" applyNumberFormat="1" applyFont="1" applyFill="1" applyBorder="1" applyAlignment="1">
      <alignment horizontal="left" vertical="top"/>
    </xf>
    <xf numFmtId="2" fontId="26" fillId="3" borderId="1" xfId="0" applyNumberFormat="1" applyFont="1" applyFill="1" applyBorder="1" applyAlignment="1">
      <alignment horizontal="left"/>
    </xf>
    <xf numFmtId="2" fontId="23" fillId="3" borderId="1" xfId="1" applyNumberFormat="1" applyFont="1" applyFill="1" applyBorder="1" applyAlignment="1">
      <alignment horizontal="left" vertical="top"/>
    </xf>
    <xf numFmtId="2" fontId="24" fillId="3" borderId="1" xfId="0" applyNumberFormat="1" applyFont="1" applyFill="1" applyBorder="1" applyAlignment="1">
      <alignment horizontal="left"/>
    </xf>
    <xf numFmtId="2" fontId="21" fillId="3" borderId="1" xfId="1" applyNumberFormat="1" applyFont="1" applyFill="1" applyBorder="1" applyAlignment="1">
      <alignment horizontal="left" vertical="top"/>
    </xf>
    <xf numFmtId="2" fontId="31" fillId="3" borderId="1" xfId="1" applyNumberFormat="1" applyFont="1" applyFill="1" applyBorder="1" applyAlignment="1">
      <alignment horizontal="left" vertical="top"/>
    </xf>
    <xf numFmtId="0" fontId="31" fillId="3" borderId="1" xfId="1" applyFont="1" applyFill="1" applyBorder="1" applyAlignment="1">
      <alignment horizontal="left" vertical="top"/>
    </xf>
    <xf numFmtId="0" fontId="30" fillId="2" borderId="1" xfId="0" applyFont="1" applyFill="1" applyBorder="1" applyAlignment="1">
      <alignment horizontal="center" vertical="center" wrapText="1"/>
    </xf>
    <xf numFmtId="0" fontId="24" fillId="3" borderId="0" xfId="0" applyFont="1" applyFill="1" applyAlignment="1">
      <alignment horizontal="center" vertical="center"/>
    </xf>
    <xf numFmtId="3" fontId="43" fillId="3" borderId="1" xfId="0" applyNumberFormat="1" applyFont="1" applyFill="1" applyBorder="1" applyAlignment="1">
      <alignment horizontal="left"/>
    </xf>
    <xf numFmtId="0" fontId="29" fillId="3" borderId="1" xfId="0" applyFont="1" applyFill="1" applyBorder="1"/>
    <xf numFmtId="3" fontId="0" fillId="0" borderId="0" xfId="0" applyNumberFormat="1"/>
    <xf numFmtId="0" fontId="6" fillId="2" borderId="1" xfId="0" applyFont="1" applyFill="1" applyBorder="1" applyAlignment="1">
      <alignment horizontal="center"/>
    </xf>
    <xf numFmtId="0" fontId="0" fillId="3" borderId="1" xfId="0" applyFill="1" applyBorder="1" applyAlignment="1">
      <alignment horizontal="left" vertical="top" wrapText="1"/>
    </xf>
    <xf numFmtId="0" fontId="22" fillId="4" borderId="1" xfId="0" applyFont="1" applyFill="1" applyBorder="1"/>
    <xf numFmtId="3" fontId="21" fillId="4" borderId="1" xfId="1" applyNumberFormat="1" applyFont="1" applyFill="1" applyBorder="1" applyAlignment="1">
      <alignment horizontal="left" vertical="top"/>
    </xf>
    <xf numFmtId="3" fontId="31" fillId="4" borderId="1" xfId="1" applyNumberFormat="1" applyFont="1" applyFill="1" applyBorder="1" applyAlignment="1">
      <alignment horizontal="left" vertical="top"/>
    </xf>
    <xf numFmtId="2" fontId="24" fillId="4" borderId="1" xfId="0" applyNumberFormat="1" applyFont="1" applyFill="1" applyBorder="1" applyAlignment="1">
      <alignment horizontal="left"/>
    </xf>
    <xf numFmtId="0" fontId="44" fillId="2" borderId="0" xfId="1" applyFont="1" applyFill="1" applyBorder="1" applyAlignment="1">
      <alignment wrapText="1"/>
    </xf>
    <xf numFmtId="0" fontId="0" fillId="0" borderId="0" xfId="0" pivotButton="1"/>
    <xf numFmtId="0" fontId="0" fillId="0" borderId="0" xfId="0" applyAlignment="1">
      <alignment horizontal="left"/>
    </xf>
    <xf numFmtId="0" fontId="46" fillId="5" borderId="10" xfId="0" applyFont="1" applyFill="1" applyBorder="1" applyAlignment="1">
      <alignment vertical="center" wrapText="1"/>
    </xf>
    <xf numFmtId="0" fontId="46" fillId="5" borderId="11" xfId="0" applyFont="1" applyFill="1" applyBorder="1" applyAlignment="1">
      <alignment vertical="center" wrapText="1"/>
    </xf>
    <xf numFmtId="0" fontId="46" fillId="5" borderId="12" xfId="0" applyFont="1" applyFill="1" applyBorder="1" applyAlignment="1">
      <alignment vertical="center" wrapText="1"/>
    </xf>
    <xf numFmtId="0" fontId="45" fillId="6" borderId="15" xfId="0" applyFont="1" applyFill="1" applyBorder="1" applyAlignment="1">
      <alignment vertical="center" wrapText="1"/>
    </xf>
    <xf numFmtId="0" fontId="47" fillId="6" borderId="14" xfId="0" applyFont="1" applyFill="1" applyBorder="1" applyAlignment="1">
      <alignment vertical="center" wrapText="1"/>
    </xf>
    <xf numFmtId="0" fontId="45" fillId="7" borderId="15" xfId="0" applyFont="1" applyFill="1" applyBorder="1" applyAlignment="1">
      <alignment vertical="center" wrapText="1"/>
    </xf>
    <xf numFmtId="0" fontId="47" fillId="7" borderId="14" xfId="0" applyFont="1" applyFill="1" applyBorder="1" applyAlignment="1">
      <alignment vertical="center" wrapText="1"/>
    </xf>
    <xf numFmtId="3" fontId="37" fillId="3" borderId="6" xfId="0" applyNumberFormat="1" applyFont="1" applyFill="1" applyBorder="1"/>
    <xf numFmtId="3" fontId="33" fillId="3" borderId="1" xfId="0" applyNumberFormat="1" applyFont="1" applyFill="1" applyBorder="1"/>
    <xf numFmtId="0" fontId="48" fillId="2" borderId="2" xfId="0" applyFont="1" applyFill="1" applyBorder="1" applyAlignment="1">
      <alignment horizontal="left"/>
    </xf>
    <xf numFmtId="0" fontId="49" fillId="2" borderId="1" xfId="0" applyFont="1" applyFill="1" applyBorder="1" applyAlignment="1">
      <alignment horizontal="center"/>
    </xf>
    <xf numFmtId="0" fontId="49" fillId="2" borderId="1" xfId="0" applyFont="1" applyFill="1" applyBorder="1" applyAlignment="1">
      <alignment horizontal="left"/>
    </xf>
    <xf numFmtId="3" fontId="50" fillId="3" borderId="1" xfId="0" applyNumberFormat="1" applyFont="1" applyFill="1" applyBorder="1"/>
    <xf numFmtId="1" fontId="50" fillId="3" borderId="1" xfId="0" applyNumberFormat="1" applyFont="1" applyFill="1" applyBorder="1"/>
    <xf numFmtId="0" fontId="33" fillId="3" borderId="1" xfId="0" applyFont="1" applyFill="1" applyBorder="1"/>
    <xf numFmtId="2" fontId="33" fillId="3" borderId="1" xfId="0" applyNumberFormat="1" applyFont="1" applyFill="1" applyBorder="1"/>
    <xf numFmtId="0" fontId="51" fillId="2" borderId="2" xfId="1" applyFont="1" applyFill="1" applyBorder="1" applyAlignment="1">
      <alignment horizontal="left" vertical="top"/>
    </xf>
    <xf numFmtId="3" fontId="52" fillId="3" borderId="1" xfId="1" applyNumberFormat="1" applyFont="1" applyFill="1" applyBorder="1" applyAlignment="1">
      <alignment horizontal="left" vertical="top"/>
    </xf>
    <xf numFmtId="3" fontId="52" fillId="4" borderId="1" xfId="1" applyNumberFormat="1" applyFont="1" applyFill="1" applyBorder="1" applyAlignment="1">
      <alignment horizontal="left" vertical="top"/>
    </xf>
    <xf numFmtId="3" fontId="53" fillId="3" borderId="1" xfId="1" applyNumberFormat="1" applyFont="1" applyFill="1" applyBorder="1" applyAlignment="1">
      <alignment horizontal="left" vertical="top"/>
    </xf>
    <xf numFmtId="3" fontId="52" fillId="3" borderId="0" xfId="1" applyNumberFormat="1" applyFont="1" applyFill="1" applyBorder="1" applyAlignment="1">
      <alignment horizontal="left" vertical="top"/>
    </xf>
    <xf numFmtId="0" fontId="21" fillId="3" borderId="1" xfId="0" applyFont="1" applyFill="1" applyBorder="1"/>
    <xf numFmtId="0" fontId="38" fillId="3" borderId="0" xfId="0" applyFont="1" applyFill="1" applyAlignment="1">
      <alignment horizontal="left"/>
    </xf>
    <xf numFmtId="0" fontId="24" fillId="3" borderId="0" xfId="0" applyFont="1" applyFill="1" applyAlignment="1">
      <alignment horizontal="left"/>
    </xf>
    <xf numFmtId="0" fontId="22" fillId="3" borderId="1" xfId="0" applyFont="1" applyFill="1" applyBorder="1" applyAlignment="1">
      <alignment horizontal="left"/>
    </xf>
    <xf numFmtId="0" fontId="21" fillId="3" borderId="1" xfId="0" applyFont="1" applyFill="1" applyBorder="1" applyAlignment="1">
      <alignment horizontal="left"/>
    </xf>
    <xf numFmtId="0" fontId="22" fillId="4" borderId="1" xfId="0" applyFont="1" applyFill="1" applyBorder="1" applyAlignment="1">
      <alignment horizontal="left"/>
    </xf>
    <xf numFmtId="0" fontId="22" fillId="3" borderId="0" xfId="0" applyFont="1" applyFill="1" applyAlignment="1">
      <alignment horizontal="left"/>
    </xf>
    <xf numFmtId="0" fontId="12" fillId="3" borderId="0" xfId="0" applyFont="1" applyFill="1"/>
    <xf numFmtId="0" fontId="54" fillId="2" borderId="7" xfId="0" applyFont="1" applyFill="1" applyBorder="1" applyAlignment="1">
      <alignment vertical="center" wrapText="1"/>
    </xf>
    <xf numFmtId="0" fontId="12" fillId="3" borderId="0" xfId="0" applyFont="1" applyFill="1" applyBorder="1"/>
    <xf numFmtId="0" fontId="46" fillId="5" borderId="13" xfId="0" applyFont="1" applyFill="1" applyBorder="1" applyAlignment="1">
      <alignment vertical="center" wrapText="1"/>
    </xf>
    <xf numFmtId="3" fontId="0" fillId="3" borderId="0" xfId="0" applyNumberFormat="1" applyFill="1"/>
    <xf numFmtId="0" fontId="0" fillId="3" borderId="1" xfId="0" applyFill="1" applyBorder="1" applyAlignment="1">
      <alignment horizontal="left"/>
    </xf>
    <xf numFmtId="0" fontId="22" fillId="2" borderId="1" xfId="1" applyFont="1" applyFill="1" applyBorder="1" applyAlignment="1">
      <alignment horizontal="left" vertical="top"/>
    </xf>
    <xf numFmtId="0" fontId="30" fillId="3" borderId="0" xfId="0" applyFont="1" applyFill="1" applyBorder="1"/>
    <xf numFmtId="0" fontId="0" fillId="3" borderId="0" xfId="0" applyFill="1" applyAlignment="1">
      <alignment vertical="center"/>
    </xf>
    <xf numFmtId="0" fontId="22" fillId="2" borderId="1" xfId="1" applyFont="1" applyFill="1" applyBorder="1" applyAlignment="1">
      <alignment horizontal="center"/>
    </xf>
    <xf numFmtId="0" fontId="0" fillId="3" borderId="1" xfId="0" applyFill="1" applyBorder="1" applyAlignment="1">
      <alignment horizontal="left" vertical="top"/>
    </xf>
    <xf numFmtId="3" fontId="37" fillId="3" borderId="1" xfId="0" applyNumberFormat="1" applyFont="1" applyFill="1" applyBorder="1" applyAlignment="1">
      <alignment horizontal="left" vertical="top"/>
    </xf>
    <xf numFmtId="3" fontId="0" fillId="3" borderId="1" xfId="0" applyNumberFormat="1" applyFill="1" applyBorder="1" applyAlignment="1">
      <alignment horizontal="left" vertical="top"/>
    </xf>
    <xf numFmtId="3" fontId="0" fillId="3" borderId="1" xfId="0" applyNumberFormat="1" applyFill="1" applyBorder="1" applyAlignment="1">
      <alignment horizontal="left" vertical="top" wrapText="1"/>
    </xf>
    <xf numFmtId="14" fontId="0" fillId="3" borderId="1" xfId="0" quotePrefix="1" applyNumberFormat="1" applyFill="1" applyBorder="1" applyAlignment="1">
      <alignment horizontal="left" vertical="top"/>
    </xf>
    <xf numFmtId="3" fontId="0" fillId="3" borderId="1" xfId="0" quotePrefix="1" applyNumberFormat="1" applyFill="1" applyBorder="1" applyAlignment="1">
      <alignment horizontal="left" vertical="top"/>
    </xf>
    <xf numFmtId="0" fontId="0" fillId="3" borderId="1" xfId="0" quotePrefix="1" applyFill="1" applyBorder="1" applyAlignment="1">
      <alignment horizontal="left" vertical="top"/>
    </xf>
    <xf numFmtId="3" fontId="0" fillId="3" borderId="1" xfId="0" applyNumberFormat="1" applyFill="1" applyBorder="1" applyAlignment="1">
      <alignment vertical="top"/>
    </xf>
    <xf numFmtId="3" fontId="0" fillId="3" borderId="6" xfId="0" applyNumberFormat="1" applyFill="1" applyBorder="1" applyAlignment="1">
      <alignment horizontal="left" vertical="top"/>
    </xf>
    <xf numFmtId="0" fontId="30" fillId="2" borderId="17" xfId="0" applyFont="1" applyFill="1" applyBorder="1" applyAlignment="1">
      <alignment vertical="center"/>
    </xf>
    <xf numFmtId="0" fontId="30" fillId="2" borderId="19" xfId="0" applyFont="1" applyFill="1" applyBorder="1" applyAlignment="1">
      <alignment vertical="center"/>
    </xf>
    <xf numFmtId="0" fontId="22" fillId="2" borderId="20" xfId="1" applyFont="1" applyFill="1" applyBorder="1" applyAlignment="1">
      <alignment horizontal="left" vertical="top"/>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6" fillId="2" borderId="1" xfId="0" applyFont="1" applyFill="1" applyBorder="1" applyAlignment="1">
      <alignment horizontal="center" wrapText="1"/>
    </xf>
    <xf numFmtId="0" fontId="6" fillId="2" borderId="1" xfId="0" applyFont="1" applyFill="1" applyBorder="1" applyAlignment="1">
      <alignment horizontal="center" vertical="center" wrapText="1"/>
    </xf>
    <xf numFmtId="0" fontId="22" fillId="2" borderId="1" xfId="1" applyFont="1" applyFill="1" applyBorder="1" applyAlignment="1">
      <alignment horizontal="center" vertical="center"/>
    </xf>
    <xf numFmtId="0" fontId="22" fillId="2" borderId="1" xfId="1" applyFont="1" applyFill="1" applyBorder="1" applyAlignment="1">
      <alignment horizontal="center" vertical="center" wrapText="1"/>
    </xf>
    <xf numFmtId="0" fontId="32" fillId="2" borderId="1" xfId="1" applyFont="1" applyFill="1" applyBorder="1" applyAlignment="1">
      <alignment horizontal="center" vertical="center"/>
    </xf>
    <xf numFmtId="0" fontId="7" fillId="2" borderId="1" xfId="3" applyFill="1" applyBorder="1" applyAlignment="1">
      <alignment horizontal="center"/>
    </xf>
    <xf numFmtId="0" fontId="7" fillId="3" borderId="1" xfId="3" applyFill="1" applyBorder="1" applyAlignment="1">
      <alignment horizontal="left" wrapText="1"/>
    </xf>
    <xf numFmtId="0" fontId="35" fillId="3" borderId="1" xfId="0" applyFont="1" applyFill="1" applyBorder="1" applyAlignment="1">
      <alignment horizontal="left" wrapText="1"/>
    </xf>
    <xf numFmtId="0" fontId="28" fillId="2" borderId="1" xfId="0" applyFont="1" applyFill="1" applyBorder="1" applyAlignment="1">
      <alignment horizontal="left"/>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4" xfId="0" applyFont="1" applyFill="1" applyBorder="1" applyAlignment="1">
      <alignment horizontal="center"/>
    </xf>
    <xf numFmtId="0" fontId="3" fillId="3" borderId="1" xfId="2" applyFill="1" applyBorder="1" applyAlignment="1">
      <alignment horizontal="left" vertical="top" wrapText="1"/>
    </xf>
    <xf numFmtId="0" fontId="0" fillId="3" borderId="1" xfId="0" applyFill="1" applyBorder="1" applyAlignment="1">
      <alignment horizontal="left" vertical="top" wrapText="1"/>
    </xf>
    <xf numFmtId="0" fontId="6" fillId="2" borderId="3" xfId="0" applyFont="1" applyFill="1" applyBorder="1" applyAlignment="1">
      <alignment horizontal="center"/>
    </xf>
    <xf numFmtId="0" fontId="35" fillId="2" borderId="1" xfId="0" applyFont="1" applyFill="1" applyBorder="1" applyAlignment="1">
      <alignment horizontal="center"/>
    </xf>
    <xf numFmtId="0" fontId="40" fillId="2" borderId="1" xfId="0" applyFont="1" applyFill="1" applyBorder="1" applyAlignment="1">
      <alignment horizontal="center" vertical="center" wrapText="1"/>
    </xf>
    <xf numFmtId="0" fontId="40" fillId="2" borderId="1" xfId="0" applyFont="1" applyFill="1" applyBorder="1" applyAlignment="1">
      <alignment horizontal="center" vertical="center"/>
    </xf>
    <xf numFmtId="0" fontId="41" fillId="3" borderId="2" xfId="0" applyFont="1" applyFill="1" applyBorder="1" applyAlignment="1">
      <alignment horizontal="right"/>
    </xf>
    <xf numFmtId="0" fontId="3" fillId="3" borderId="2" xfId="2" applyFill="1" applyBorder="1" applyAlignment="1">
      <alignment horizontal="center" wrapText="1"/>
    </xf>
    <xf numFmtId="0" fontId="3" fillId="3" borderId="3" xfId="2" applyFill="1" applyBorder="1" applyAlignment="1">
      <alignment horizontal="center" wrapText="1"/>
    </xf>
    <xf numFmtId="0" fontId="3" fillId="3" borderId="4" xfId="2" applyFill="1" applyBorder="1" applyAlignment="1">
      <alignment horizont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0" fillId="3" borderId="4" xfId="0" applyFill="1" applyBorder="1" applyAlignment="1">
      <alignment horizontal="center" wrapText="1"/>
    </xf>
    <xf numFmtId="0" fontId="41" fillId="3" borderId="1" xfId="0" applyFont="1" applyFill="1" applyBorder="1" applyAlignment="1">
      <alignment horizontal="right"/>
    </xf>
    <xf numFmtId="0" fontId="0" fillId="2" borderId="2" xfId="0" applyFill="1" applyBorder="1" applyAlignment="1">
      <alignment horizontal="center"/>
    </xf>
    <xf numFmtId="0" fontId="0" fillId="2" borderId="4" xfId="0" applyFill="1" applyBorder="1" applyAlignment="1">
      <alignment horizontal="center"/>
    </xf>
    <xf numFmtId="0" fontId="6" fillId="2" borderId="6" xfId="0" applyFont="1" applyFill="1" applyBorder="1" applyAlignment="1">
      <alignment horizontal="center"/>
    </xf>
    <xf numFmtId="0" fontId="46" fillId="5" borderId="16" xfId="0" applyFont="1" applyFill="1" applyBorder="1" applyAlignment="1">
      <alignment vertical="center" wrapText="1"/>
    </xf>
    <xf numFmtId="0" fontId="46" fillId="5" borderId="13" xfId="0" applyFont="1" applyFill="1" applyBorder="1" applyAlignment="1">
      <alignment vertical="center" wrapText="1"/>
    </xf>
    <xf numFmtId="0" fontId="47" fillId="6" borderId="16" xfId="0" applyFont="1" applyFill="1" applyBorder="1" applyAlignment="1">
      <alignment vertical="center" wrapText="1"/>
    </xf>
    <xf numFmtId="0" fontId="47" fillId="6" borderId="13" xfId="0" applyFont="1" applyFill="1" applyBorder="1" applyAlignment="1">
      <alignment vertical="center" wrapText="1"/>
    </xf>
    <xf numFmtId="0" fontId="47" fillId="7" borderId="16" xfId="0" applyFont="1" applyFill="1" applyBorder="1" applyAlignment="1">
      <alignment vertical="center" wrapText="1"/>
    </xf>
    <xf numFmtId="0" fontId="47" fillId="7" borderId="13" xfId="0" applyFont="1" applyFill="1" applyBorder="1" applyAlignment="1">
      <alignment vertical="center" wrapText="1"/>
    </xf>
    <xf numFmtId="3" fontId="0" fillId="3" borderId="2" xfId="0" applyNumberFormat="1" applyFill="1" applyBorder="1" applyAlignment="1">
      <alignment horizontal="right" vertical="top"/>
    </xf>
    <xf numFmtId="3" fontId="0" fillId="3" borderId="3" xfId="0" applyNumberFormat="1" applyFill="1" applyBorder="1" applyAlignment="1">
      <alignment horizontal="right" vertical="top"/>
    </xf>
    <xf numFmtId="3" fontId="0" fillId="3" borderId="4" xfId="0" applyNumberFormat="1" applyFill="1" applyBorder="1" applyAlignment="1">
      <alignment horizontal="right" vertical="top"/>
    </xf>
    <xf numFmtId="0" fontId="30" fillId="2" borderId="2" xfId="0" applyFont="1" applyFill="1" applyBorder="1" applyAlignment="1">
      <alignment horizontal="center" wrapText="1"/>
    </xf>
    <xf numFmtId="0" fontId="30" fillId="2" borderId="4" xfId="0" applyFont="1" applyFill="1" applyBorder="1" applyAlignment="1">
      <alignment horizontal="center" wrapText="1"/>
    </xf>
    <xf numFmtId="0" fontId="44" fillId="2" borderId="2" xfId="1" applyFont="1" applyFill="1" applyBorder="1" applyAlignment="1">
      <alignment horizontal="center" wrapText="1"/>
    </xf>
    <xf numFmtId="0" fontId="44" fillId="2" borderId="4" xfId="1" applyFont="1" applyFill="1" applyBorder="1" applyAlignment="1">
      <alignment horizontal="center" wrapText="1"/>
    </xf>
    <xf numFmtId="0" fontId="22" fillId="2" borderId="2" xfId="1" applyFont="1" applyFill="1" applyBorder="1" applyAlignment="1">
      <alignment horizontal="center"/>
    </xf>
    <xf numFmtId="0" fontId="22" fillId="2" borderId="4" xfId="1" applyFont="1" applyFill="1" applyBorder="1" applyAlignment="1">
      <alignment horizontal="center"/>
    </xf>
    <xf numFmtId="3" fontId="0" fillId="3" borderId="17" xfId="0" applyNumberFormat="1" applyFill="1" applyBorder="1" applyAlignment="1">
      <alignment horizontal="left" vertical="top"/>
    </xf>
    <xf numFmtId="3" fontId="0" fillId="3" borderId="18" xfId="0" applyNumberFormat="1" applyFill="1" applyBorder="1" applyAlignment="1">
      <alignment horizontal="left" vertical="top"/>
    </xf>
    <xf numFmtId="3" fontId="0" fillId="3" borderId="19" xfId="0" applyNumberFormat="1" applyFill="1" applyBorder="1" applyAlignment="1">
      <alignment horizontal="left" vertical="top"/>
    </xf>
    <xf numFmtId="3" fontId="0" fillId="3" borderId="2" xfId="0" applyNumberFormat="1" applyFill="1" applyBorder="1" applyAlignment="1">
      <alignment horizontal="left" vertical="top"/>
    </xf>
    <xf numFmtId="3" fontId="0" fillId="3" borderId="3" xfId="0" applyNumberFormat="1" applyFill="1" applyBorder="1" applyAlignment="1">
      <alignment horizontal="left" vertical="top"/>
    </xf>
    <xf numFmtId="3" fontId="0" fillId="3" borderId="4" xfId="0" applyNumberFormat="1" applyFill="1" applyBorder="1" applyAlignment="1">
      <alignment horizontal="left" vertical="top"/>
    </xf>
    <xf numFmtId="0" fontId="22" fillId="2" borderId="1" xfId="1" applyFont="1" applyFill="1" applyBorder="1" applyAlignment="1">
      <alignment horizontal="center" wrapText="1"/>
    </xf>
    <xf numFmtId="0" fontId="0" fillId="3" borderId="2" xfId="0" applyFill="1" applyBorder="1" applyAlignment="1">
      <alignment horizontal="left" vertical="top"/>
    </xf>
    <xf numFmtId="0" fontId="0" fillId="3" borderId="4" xfId="0" applyFill="1" applyBorder="1" applyAlignment="1">
      <alignment horizontal="left" vertical="top"/>
    </xf>
    <xf numFmtId="0" fontId="0" fillId="3" borderId="3" xfId="0" applyFill="1" applyBorder="1" applyAlignment="1">
      <alignment horizontal="left" vertical="top"/>
    </xf>
    <xf numFmtId="0" fontId="54" fillId="2" borderId="2"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44" fillId="2" borderId="2" xfId="1" applyFont="1" applyFill="1" applyBorder="1" applyAlignment="1">
      <alignment horizontal="center" vertical="center" wrapText="1"/>
    </xf>
    <xf numFmtId="0" fontId="44" fillId="2" borderId="4" xfId="1" applyFont="1" applyFill="1" applyBorder="1" applyAlignment="1">
      <alignment horizontal="center" vertical="center" wrapText="1"/>
    </xf>
    <xf numFmtId="0" fontId="56" fillId="2" borderId="6" xfId="1" applyFont="1" applyFill="1" applyBorder="1" applyAlignment="1">
      <alignment horizontal="center" vertical="center" wrapText="1"/>
    </xf>
    <xf numFmtId="0" fontId="56" fillId="2" borderId="8" xfId="1" applyFont="1" applyFill="1" applyBorder="1" applyAlignment="1">
      <alignment horizontal="center" vertical="center" wrapText="1"/>
    </xf>
    <xf numFmtId="0" fontId="56" fillId="2" borderId="9" xfId="1" applyFont="1" applyFill="1" applyBorder="1" applyAlignment="1">
      <alignment horizontal="center" vertical="center" wrapText="1"/>
    </xf>
    <xf numFmtId="0" fontId="22" fillId="2" borderId="8" xfId="1" applyFont="1" applyFill="1" applyBorder="1" applyAlignment="1">
      <alignment horizontal="center" vertical="center"/>
    </xf>
    <xf numFmtId="0" fontId="22" fillId="2" borderId="9"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8" xfId="1" applyFont="1" applyFill="1" applyBorder="1" applyAlignment="1">
      <alignment horizontal="center" vertical="center"/>
    </xf>
    <xf numFmtId="0" fontId="32" fillId="2" borderId="9" xfId="1" applyFont="1" applyFill="1" applyBorder="1" applyAlignment="1">
      <alignment horizontal="center" vertical="center"/>
    </xf>
    <xf numFmtId="0" fontId="22" fillId="2" borderId="6" xfId="1" applyFont="1" applyFill="1" applyBorder="1" applyAlignment="1">
      <alignment horizontal="center" vertical="center" wrapText="1"/>
    </xf>
    <xf numFmtId="0" fontId="22" fillId="2" borderId="8" xfId="1" applyFont="1" applyFill="1" applyBorder="1" applyAlignment="1">
      <alignment horizontal="center" vertical="center" wrapText="1"/>
    </xf>
    <xf numFmtId="0" fontId="22" fillId="2" borderId="9" xfId="1" applyFont="1" applyFill="1" applyBorder="1" applyAlignment="1">
      <alignment horizontal="center" vertical="center" wrapText="1"/>
    </xf>
  </cellXfs>
  <cellStyles count="4">
    <cellStyle name="Hyperlink" xfId="2" builtinId="8"/>
    <cellStyle name="Normal" xfId="0" builtinId="0"/>
    <cellStyle name="Normal 2" xfId="1" xr:uid="{01B73085-68CD-4E06-97B5-B00AEE36B1AB}"/>
    <cellStyle name="Normal 3" xfId="3" xr:uid="{50890C70-6EF3-4843-89C8-EA5408EF94AE}"/>
  </cellStyles>
  <dxfs count="14">
    <dxf>
      <numFmt numFmtId="3" formatCode="#,##0"/>
    </dxf>
    <dxf>
      <numFmt numFmtId="3" formatCode="#,##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colors>
    <mruColors>
      <color rgb="FFB4B000"/>
      <color rgb="FFC0BC00"/>
      <color rgb="FFF2B800"/>
      <color rgb="FFFFC50D"/>
      <color rgb="FFCFE8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onnections" Target="connections.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powerPivotData" Target="model/item.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IKP!$R$134</c:f>
              <c:strCache>
                <c:ptCount val="1"/>
                <c:pt idx="0">
                  <c:v>Vēsturiskais</c:v>
                </c:pt>
              </c:strCache>
            </c:strRef>
          </c:tx>
          <c:spPr>
            <a:ln w="28575" cap="rnd">
              <a:solidFill>
                <a:schemeClr val="accent1"/>
              </a:solidFill>
              <a:round/>
            </a:ln>
            <a:effectLst/>
          </c:spPr>
          <c:marker>
            <c:symbol val="none"/>
          </c:marker>
          <c:val>
            <c:numRef>
              <c:f>IKP!$S$134:$AC$134</c:f>
            </c:numRef>
          </c:val>
          <c:smooth val="0"/>
          <c:extLst>
            <c:ext xmlns:c16="http://schemas.microsoft.com/office/drawing/2014/chart" uri="{C3380CC4-5D6E-409C-BE32-E72D297353CC}">
              <c16:uniqueId val="{00000000-7E25-4587-A952-D893F8ED77BB}"/>
            </c:ext>
          </c:extLst>
        </c:ser>
        <c:ser>
          <c:idx val="1"/>
          <c:order val="1"/>
          <c:tx>
            <c:strRef>
              <c:f>IKP!$R$135</c:f>
              <c:strCache>
                <c:ptCount val="1"/>
                <c:pt idx="0">
                  <c:v>Aprēķinātais</c:v>
                </c:pt>
              </c:strCache>
            </c:strRef>
          </c:tx>
          <c:spPr>
            <a:ln w="28575" cap="rnd">
              <a:solidFill>
                <a:schemeClr val="accent2"/>
              </a:solidFill>
              <a:round/>
            </a:ln>
            <a:effectLst/>
          </c:spPr>
          <c:marker>
            <c:symbol val="none"/>
          </c:marker>
          <c:val>
            <c:numRef>
              <c:f>IKP!$S$135:$AC$135</c:f>
            </c:numRef>
          </c:val>
          <c:smooth val="0"/>
          <c:extLst>
            <c:ext xmlns:c16="http://schemas.microsoft.com/office/drawing/2014/chart" uri="{C3380CC4-5D6E-409C-BE32-E72D297353CC}">
              <c16:uniqueId val="{00000001-7E25-4587-A952-D893F8ED77BB}"/>
            </c:ext>
          </c:extLst>
        </c:ser>
        <c:dLbls>
          <c:showLegendKey val="0"/>
          <c:showVal val="0"/>
          <c:showCatName val="0"/>
          <c:showSerName val="0"/>
          <c:showPercent val="0"/>
          <c:showBubbleSize val="0"/>
        </c:dLbls>
        <c:marker val="1"/>
        <c:smooth val="0"/>
        <c:axId val="993275120"/>
        <c:axId val="993280696"/>
      </c:lineChart>
      <c:catAx>
        <c:axId val="993275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993280696"/>
        <c:crosses val="autoZero"/>
        <c:auto val="1"/>
        <c:lblAlgn val="ctr"/>
        <c:lblOffset val="100"/>
        <c:noMultiLvlLbl val="0"/>
      </c:catAx>
      <c:valAx>
        <c:axId val="993280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993275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2245315648385664"/>
                  <c:y val="0.2279319193735880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trendlineLbl>
          </c:trendline>
          <c:xVal>
            <c:numRef>
              <c:f>Atkritumi!$B$6:$H$6</c:f>
              <c:numCache>
                <c:formatCode>#,##0</c:formatCode>
                <c:ptCount val="7"/>
                <c:pt idx="0">
                  <c:v>22749010</c:v>
                </c:pt>
                <c:pt idx="1">
                  <c:v>23625802</c:v>
                </c:pt>
                <c:pt idx="2">
                  <c:v>24572126</c:v>
                </c:pt>
                <c:pt idx="3">
                  <c:v>25371324</c:v>
                </c:pt>
                <c:pt idx="4">
                  <c:v>26984433</c:v>
                </c:pt>
                <c:pt idx="5">
                  <c:v>29153556</c:v>
                </c:pt>
                <c:pt idx="6">
                  <c:v>30647222</c:v>
                </c:pt>
              </c:numCache>
            </c:numRef>
          </c:xVal>
          <c:yVal>
            <c:numRef>
              <c:f>Atkritumi!$B$7:$H$7</c:f>
              <c:numCache>
                <c:formatCode>0.000</c:formatCode>
                <c:ptCount val="7"/>
                <c:pt idx="0">
                  <c:v>3.0963433371386271E-2</c:v>
                </c:pt>
                <c:pt idx="1">
                  <c:v>3.0729637326174147E-2</c:v>
                </c:pt>
                <c:pt idx="2">
                  <c:v>3.2480464755064338E-2</c:v>
                </c:pt>
                <c:pt idx="3">
                  <c:v>3.1629156724339656E-2</c:v>
                </c:pt>
                <c:pt idx="4">
                  <c:v>2.957482930992102E-2</c:v>
                </c:pt>
                <c:pt idx="5">
                  <c:v>2.6928769159755332E-2</c:v>
                </c:pt>
                <c:pt idx="6">
                  <c:v>2.7439423840764424E-2</c:v>
                </c:pt>
              </c:numCache>
            </c:numRef>
          </c:yVal>
          <c:smooth val="0"/>
          <c:extLst>
            <c:ext xmlns:c16="http://schemas.microsoft.com/office/drawing/2014/chart" uri="{C3380CC4-5D6E-409C-BE32-E72D297353CC}">
              <c16:uniqueId val="{00000000-A91B-4086-B2C7-50743D79BB38}"/>
            </c:ext>
          </c:extLst>
        </c:ser>
        <c:dLbls>
          <c:showLegendKey val="0"/>
          <c:showVal val="0"/>
          <c:showCatName val="0"/>
          <c:showSerName val="0"/>
          <c:showPercent val="0"/>
          <c:showBubbleSize val="0"/>
        </c:dLbls>
        <c:axId val="993325304"/>
        <c:axId val="993323336"/>
      </c:scatterChart>
      <c:valAx>
        <c:axId val="993325304"/>
        <c:scaling>
          <c:orientation val="minMax"/>
          <c:min val="20000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IKP, tūkst.EUR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993323336"/>
        <c:crosses val="autoZero"/>
        <c:crossBetween val="midCat"/>
      </c:valAx>
      <c:valAx>
        <c:axId val="993323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Radīto atkritumu daudzums, kg/EUR</a:t>
                </a:r>
              </a:p>
            </c:rich>
          </c:tx>
          <c:layout>
            <c:manualLayout>
              <c:xMode val="edge"/>
              <c:yMode val="edge"/>
              <c:x val="1.3335111348179758E-2"/>
              <c:y val="6.618303979412044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9933253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_xlchart.v5.1</cx:f>
        <cx:nf>_xlchart.v5.0</cx:nf>
      </cx:strDim>
      <cx:numDim type="colorVal">
        <cx:f>_xlchart.v5.3</cx:f>
        <cx:nf>_xlchart.v5.2</cx:nf>
      </cx:numDim>
    </cx:data>
  </cx:chartData>
  <cx:chart>
    <cx:title pos="t" align="ctr" overlay="0">
      <cx:tx>
        <cx:rich>
          <a:bodyPr spcFirstLastPara="1" vertOverflow="ellipsis" horzOverflow="overflow" wrap="square" lIns="0" tIns="0" rIns="0" bIns="0" anchor="ctr" anchorCtr="1"/>
          <a:lstStyle/>
          <a:p>
            <a:pPr algn="ctr" rtl="0">
              <a:defRPr/>
            </a:pPr>
            <a:r>
              <a:rPr lang="lv-LV" sz="1400" b="0" i="0" u="none" strike="noStrike" baseline="0">
                <a:solidFill>
                  <a:sysClr val="windowText" lastClr="000000">
                    <a:lumMod val="65000"/>
                    <a:lumOff val="35000"/>
                  </a:sysClr>
                </a:solidFill>
                <a:latin typeface="Calibri" panose="020F0502020204030204"/>
              </a:rPr>
              <a:t>Radītais mājsaimniecības bioloģisko atkritumu daudzums 2030.gadā</a:t>
            </a: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series layoutId="regionMap" uniqueId="{7A4D4DDA-2DDE-4FB6-83AE-1BD21110D922}">
          <cx:tx>
            <cx:txData>
              <cx:f>_xlchart.v5.2</cx:f>
              <cx:v>Tonnas</cx:v>
            </cx:txData>
          </cx:tx>
          <cx:spPr>
            <a:solidFill>
              <a:srgbClr val="B4B000"/>
            </a:solidFill>
            <a:ln>
              <a:solidFill>
                <a:schemeClr val="bg1">
                  <a:lumMod val="65000"/>
                </a:schemeClr>
              </a:solidFill>
            </a:ln>
          </cx:spPr>
          <cx:dataPt idx="0">
            <cx:spPr>
              <a:solidFill>
                <a:srgbClr val="70AD47">
                  <a:lumMod val="50000"/>
                </a:srgbClr>
              </a:solidFill>
            </cx:spPr>
          </cx:dataPt>
          <cx:dataLabels>
            <cx:txPr>
              <a:bodyPr spcFirstLastPara="1" vertOverflow="ellipsis" horzOverflow="overflow" wrap="square" lIns="0" tIns="0" rIns="0" bIns="0" anchor="ctr" anchorCtr="1"/>
              <a:lstStyle/>
              <a:p>
                <a:pPr algn="ctr" rtl="0">
                  <a:defRPr sz="800"/>
                </a:pPr>
                <a:endParaRPr lang="en-US" sz="800" b="0" i="0" u="none" strike="noStrike" baseline="0">
                  <a:solidFill>
                    <a:sysClr val="windowText" lastClr="000000">
                      <a:lumMod val="65000"/>
                      <a:lumOff val="35000"/>
                    </a:sysClr>
                  </a:solidFill>
                  <a:latin typeface="Calibri" panose="020F0502020204030204"/>
                </a:endParaRPr>
              </a:p>
            </cx:txPr>
            <cx:visibility seriesName="0" categoryName="1" value="1"/>
            <cx:separator> </cx:separator>
          </cx:dataLabels>
          <cx:dataId val="0"/>
          <cx:layoutPr>
            <cx:regionLabelLayout val="none"/>
            <cx:geography cultureLanguage="en-US" cultureRegion="LV" attribution="Powered by Bing">
              <cx:geoCache provider="{E9337A44-BEBE-4D9F-B70C-5C5E7DAFC167}">
                <cx:binary>7H3LctxIku2vlGl9wYoXEBFtU23WASCTZCbfpChqA0uRFBB4PwLP1fTm/sB8wV33/q7G7kr9X9eT
ZIpkiqoplYY2NrQxKysZAQQykAfufvy4R+S/XA9/uU5vV/UvQ5bmzV+uh9/eRcaUf/n11+Y6us1W
zU6mr+uiKT6bnesi+7X4/Flf3/56U696nYe/EoTZr9fRqja3w7u//gvcLbwtlsX1yugiP2lv6/H0
tmlT0/zOuRdP/XJdtLlZDw/hTr+9W65Mp1fvflndZDr3dGNqfW3wb+8WbXrz5R/hqvklL7rVTfPu
l9vcaDOej+Xtb++eXf3ul1+3P+qbaf2SwsxNewNjbWdHCNumhHKJbUQlfvdLWuThw2mCd6SNhSOl
w2z4H5Kbjz5cZTB8PTEdwoy/P5+72axuburbpoEHu/v3ycBnk39y/DvfjG4K9/47c4v1/Jfv7x74
1+eY/PVftg7AV7B15Als29/Xf3Tqj6J2uobs976aH4ZKci4kdxhDjEgHsHgKFdvBhAgkmO0wgoQU
m4++h+r0T+F0P2oLpPuDbwAhtUq79j/fpvgOsglYEycOxYLaW0DxHSooY9K2GWP07vS9+dwDtZ6U
3mD3koW/bFEPw7agejj6BrD6m56SetUm6e2reEGbSI4dJjH4OoK3ELN3KMMO5rZgYGI2djbw3CP2
OLXN8T8O29OxW9g9PfUWAEz/+Y+kyV8DPr7DMCaMMio4QRzR556R72CbIsoIRgSBWW55xr+l7Xpe
fwK7zcBt4DbH3wBqatU2yesQD8Y5I4JRh3AJ1vccM7ZDucOp7QCiti3WPvS5k1xPa3Psj5vb/eNs
Mazf3m0OvwHA/taG//w/N6s2XHWvAZu9IxkwDIwQc6hwOHkOm7MDcY1jKZF0HH7HUZ7C5t3Nq9Tp
71LYlwPc07FbBvf01BuA0Cs+3b5WmFtHOIQQdRzwhlthju5gyiHEYb7mJ5yAST4D725am2N/3Obu
H+cbm9scfgOAffnXm9U//9+rMEmIa9gm6C73otx+bm3gJKmDmMDEIQ9x7ylg99PSvxy0ub7W5SqF
lPHH4Xv5LlsW+PJFbwDaMx1CjvsanhRYCeFAKRFxMKGIfRMABVAVDl6UUIcSAYn5U2wf5vWT2L58
ly1sX77oLWC7alPIKRrzKpYLWQSyBURCxu9ThufJuk1szBwG/Gdt1c+g3UzrZy337Hs32gb4e9e9
AYzdL//WvAq8WILWYkO4lOChtyOpDQmJEAI4EnHuQH6OsHvb6D/BgB6GbaH3cPQNYPWUxt0bxEsk
4wdVM3tHSEQFczgDQYY4kLs/NURnx2YYpE8hKegxjtjKDf/YlP4rCetz5fOptPs/VP1Rmn8tjXfZ
3kyvQQ7gtcTADASxJZAEYOPP31q+I0BZlFTeCb0gezz3L3ez2hx6yYZefmEfhm35l4ejb8G/6Nu8
0zdJW0+32WvoUIAaERzZNiS+hAoCsDz1NXgH6iug91IiyZrUgUz1NO7P6+KT/uf//hOqxuPILewe
T7wB+E6L8nWyLGdHCogMErCDSP5ClgVEHEOaxaljQwjZSovvp/WzXO3lu2zB+fJFbwDaeZt+un0l
aRgLzAh4y6864lOTBIuF1BpzkLOoZDbdyrIe5rWx0z/uSr8O3ELw6/E3ANp7cF7NWst7jQoaBaVe
QubEbSh42lukDe8IBzMBqgciEAPtrfD3OLGfUz6+d58tTL932RuA+Mv/vU1eR0d2doDWQLlGQqV6
zby/UT+IhLYDECOhMHdf634aKh/m9ZPqx8t32UL35YveALb7t+kr1QjWThWUZHC4giIot4FTfepz
6Q5U6KgjMUMO2dI+Hib1k8C+fJctYF++6A0Ae7ZKb9pXcMrODgiVAoFfhoh6Hyufwkp2oKcBCq0S
QbvUWtjaRM37Ivn9rDbH/ngk3YzbQm9z+A3gtf/l35LVp9cJpM4OdQQQHArV74fOhaeYgTgiBCSY
yIaWFLDVrUD6ZGY/F0m/e6MtVL973RuA+fTLv023ye/3GfygtrVWCcCHIow58Nut4hC0GVG51p+h
CQkjakOl9mkIPb39D2fzskrwdeAWdl+PvwGsDr78vW7L15EI1h1868LAfT/llrBDd9aZKIY8kwPB
/UbYeZjXT4bHl++yBefLF70BbPf/+Y86W6W/K7P8sB0CmgwaMzmCf77RmOmOA00TnMIJB2Hb2bLE
/fY/nM/Llvh14BZ0X4+/AbQW9Ze/N+lr5SCIQOYhQIpDdC39POep0FVGmURQx8P4oVviqQNdQOVw
PbGNW/3jlOZx5BZwjyfeAHJLfVt++Xv8u9/PD9sZ9INBxviYOzwlM3gHMZtJaJGGtrJ7OJ/itZ7P
6ven87KZfR24hdbX428CrOzT64irfMcBGgJl0rV+CgXRLSNjO1CY40TQl+tvSw3zmvSP29jXgd+A
9nDDNwDa+1Wa6VtwQ68hwEHbCeRxUGayX1hrAA3RzrpVDOQbWDMCFHQD0H2ut5nY5ugfd42PI7dw
ezzxBoBbfvlH9+Xv+Sv0JUC+xzFghhBhbC2wPA9pcBocJPQtQI8mAU+61cj+MK+frWV85zZbiH7n
qjcA7ybTewW7hIwP+tsRqOJCcEfa33S6E0zhKIKiB/hcvl2qekhBfzJ/2Dzf1m228P3OVW8A34PV
TZG/hteFxXignGLJoOVTQAVkC11nB4wailXQVQQNK3ennxKc+2n9uM/djNvCb3P4DQB2FMLqw//8
IAk1DNDWbDDGux6NdRfGUz7KdsDVAkoUKowvwLWe1I+DdT9qC6r7g28BqHSlX6UMvC432bCUlQrI
EKAvb6vcRKEDAIB0kECU3DeJPbWso7tpbbm7+wv+OLV58SbbQL70QW8A1/NV+jpdmBTYqQNcBhY0
YGiSfm6AZAfMznYoAzbkAOfZqjWtJ/UnMouHYVvIPRx9A1gd17f6y7+/CjddN0dBFyb00rBvF1mC
iQKWsOoLShUPLW9PbXA9rfRPwLUZt4XX5vAbAAxSo1dZocd3OHANqOlBiYgSqB89t651e6kNy09g
hTNf05FNLPuaAv6Z9Xl3z/LNUqGHo28Aq/M2abPVa1CRNRiQ+EGvqFgvF3mOFd0BIsIFAmcIHhOM
7zlYd7P6Ew3pm3FbtrU5/AbwgjLz6pV6nIDsw3YOiAOh/7Z4Byu7bAxLKGGFgcTrmsFzwB6n9XN1
2e/dZwvQ7132FgDOdGpeq/WQQV0d9DF7veYcr1tdnqYHDqz/YjZ0JjqwCBrz9QLop/Hu7GFiP8k6
v3ObbYBf/rA3gO/7Vb1Kvvz7a6ltDpFSQqMT7A9xv9r5OcJAStcWzqGoS+66GJ8i/Di1nxXcvn+n
LZy/f+FbgBq+3DtfvTGkl3KzH6w4QQ0QQX1ivafENwaMd2AltUCw1J2TOx1887kPDOiPTOflitPX
jtJvmdDjTf8bInb/9t/D8mz6f2LXKptB24sNG0S80IoGygvhCKIngn0lvt2vZbPN1ven8zIsm3HP
pv64a9fr7E31/X2rvu7r5a3Myr/bEOzJ1lW/f/buAWEXs62hDxHoRcO5/7b2bn57Z3HoK4LuXUyB
lnzdbmx9q+cR7Ct3eomkfHOjW1iI+9s7wqCniYNIA6tj131p65a0/vbhDKyoFTbo2tBlActrQB3N
i9pEd7uYScJg/x4JZUYIp+tdzJqifTgFSipBsIzaAUteb+2zefbjIh3DIv/6RT38/UveZseFBl8C
s6Ho3S/l/XXrCa/dAF9vBQTToDasz1p3VZXXq1PYJg4ux//LFuWUJHqkHmhMrWomXKqpr7SXxl01
11FC3nPbWo5NRU5sJ+j8LpqImir7tJim/IqUvTmtgkpFcVW5WdxetFN9kPbBrkiyhR1HR8Qarhqn
uBlZGKqwRIcJDT9YibXMC+TmhTXTuV52muyakh0SgzM3H4VroW4PoVJJduPgYQ+Z+owxUbiNPS2H
oZhNRiwFfHQrmz3ehnOSW24Vkt0yHhUpHTcKOGxH98kOGjXq/TopfVQFKibLygm8aUwTJct4bo/y
tHf6mRjDkyE9q+NIdT3e58M4H6drkefLtA/3+xJfTHl9bppQsfqgIdNVmwk/KpcJOrTNTV6uUIrd
drqkEfOs1FISd8ekTZAKMJ/8nvZXLQtdEsnBdUwyzfOx9PoIL0Bj2jU2dwW9KvC5jQ+bhHkh7ZZB
go/SotDe1BEP9XzmjMadZOKzolBhqy9zylVaJYoPsWqRo5xI7spSqqLifpKyhdYcHqVVCZeKiFQZ
4rjdyI8zekD70AsDtOjDYL/q0nnZcWvXRGLaHccEvq4ENwdF3g2JQiZtZ2FVpKodnFpZ4eD3nVaC
6XNHf2y60RXOoAo8HcVptSvTcq+SRkVULxxzVvfhHrGoarLkgCbJMuT5cVLWi6iPVFRVKm+nSqWo
TVWi011LVlcynqWI7UYlS/w67JsjJ5myQmHceE3yuclSPyIHZWy8xFpZSbvHwuMwGpc8CD9EHZrV
GTxunt5UGfczg65HzPeC5lJEWXBUVzelNSjMmqXU9Wyo2ELK3uv7aV/T7iLTVGXMcgNthhkuzSoq
zHg4jgsRTPMhzbNZFsoPacXVQMpPeVBmqhfwTTCZuAkhhyEt51Z+aDXxoGpyYZj4jNvkCgcjngnT
ZL7lhKmaCiTVME69Ym3XeWyQHiiBHpm0cmKzQEG1Sqq0n2VjNqqm6uScFOgAUeONVdyqHrF5LeFl
lmWqnm4i+MwtXBflWOswetjb8euffz0vMvjvblfBx4PrrSEf/7rUiS5vb/Rq+6q1S/962ePWhGsH
+nWfwi3HfL/B5MZz/cjJH3PpsJT991z6y9t8fBsZ7m7z6NChXolgQSSksfzObT86dNhqBoKJw2EL
So7Ba28cOmyOIWHMQ5HzjnptHDrsrgeNdFD9vN/yBJMfcuhrZWTLocOOb+DPbdhG5W4bzOcOvQ+p
6LOkZl7FQy/AhW87zmLoKrcsQpfajYKSwSyWgUrSzwxdyzpw4yhXSXmLrcINqtRNDfKHGM3zrppZ
HCtjezm9GYvjoQ9qV2S5R7PGHUW6MEXv12OyrOhV5sQuj7JKdbxLvaKXlybuG2XnaL/op0XcxQdW
YPxugEhDJxXWo5ps4fM43Sdpvo9557eyzfzGAcumodu18e5k6Kqk8axKj2OE/SbIZhwlnp1T19bJ
IZbhgnWFH6Xcz8fWq8eucEU+uWM8zQbau+GAPjhGuzSaTzVWtAzdHpdeO4b7ppln8nCqcje2T+PQ
3mvTXdl0yuRXYcZcmtmuyeh03Ftg/U2hrypk7UXJlV0OfsfEaRTI/XaKDmFXL59kqXVh8jTJ/aoS
yzaIlFN0LmwnNUOlnOVhOQ+cygvKWcC5FwfHSOp5ZLhL6o9FkC86Ep1w2aushABsFR4Nlq32ehge
MKIyGamk3R8i+yROHDeHB65qplCp5yRCfgNuL8RmMZSXQdp4Oedu2RE31pd2vqeL2HN0qgqaeQGV
Kp+q2ZBXLumWgq+yVqhYhIBkDrifhLLwsriJFSEYHiCYV9F7OtWzKT7I+M3Q8YMQt/MB/J62pAqG
4ZwGtl9aDKYazEM5qqiEaRMf2ZXX62QmhTnqkmmGssOaNbO2uQ6KyjeUzVgF/qzJQwBAFIcFC23f
QeG0i3XE52PauQhX4GsPqEEqtMbjSha7wJ0teCswdSMchV4DvvCUBUkN4cSU45kIQnFKW7u9xWFx
UVnD4Ti0RnHdeiyuV05cC6VZNHnC1gd2MvgOjmdREniMrgIr3ivSYG8aOlWUuS+iUxSSGU/O0mox
Zp2jRM/0vIZehdiraSy8ss47l1c3Ub3CVqiSuq4umdUd8qaeFJZ0HgWJO0Z4xTXonP/jrkEShHZV
Bxjw9+n3g2j+6JwfBz145rtmIcijEDSSwLqe9b6ID54Z9i8B8s3A/UJ3F9B80KYePTNQbdj/DRZ4
wf4DIDo/Um1IlteJAbSEYfDz6y2LNgHrWUyFtOPh76dUmznfUG0CPUrr+ABc34GWJkg2nlJt08gu
kw2zvCatrcwNWXs7oMh1hrIEcqVP0qnyrcQsp8gsLD18rOLuJB/GBbfjo6zpFm2R7evY2eUEe2OZ
nBbI+jgVwz4L0wUxoY+b/oAPQ66yJiYuTW1logboPO3fW2EolN2Vc01N7gJ1127X53at2jD9UCC+
4oaeWqV9K0K5EgSMqgyLM9PSE03gldfTborkHs4jvx70oZNCDlDRdjlw7HM8nNlx6pGxm5GimJVa
qjBlxyTUBwXktGoKBw7E1TkvKJ3pGs1kyg8TlHopLg9pLQ5TnSzaMbH9ISnOLKc/oG26kkV/Suzx
TJLuqpqKmcO706KRfiOtRVOWS5qNBwa8bI2p3iNd7YVcrkjX5DMZAZFkw3saOJ4Uk9ei2HLLHgtV
he2sECYHG8btPmCk7IkfWQWkT/m0gprsklZAupspOQhYdFa0EE8slGaKar0a6sTFYnLznkaQVAxo
2Wd57lWN6DyR89anrBEz2+L8spMQPoqkdZRB1uCyqia3fYjFRTMQn4pmF8XBx5DXzgwW8TOVFWSE
mMVzHzUm8oBf3gDzJQoF9jwcs4+RQw+CaRLAIIujAUnLzbKcqNF0B7RG1VLYeevnNl/FESQfUxPt
WTWv9m1nqHYRio3b51HsxmlXeRCbxYLnkh00ohg+yd6yjkxhrXBEh1lWmtvaCj/FCT2K9FirSaBl
UCSXjUH5sujypFRYWIlwp6powIHLadGjgey2NNprqDRAJNiSTo6qM3ZV2E7iZaQ0fkMhkFLaVMfd
WEu3SXEKPFg2XmeJMwyR0TKTC3w8Uy2JF/E0GRXKJFIDEC2XhyXcoL5sksofTUndKQxiP8HJKYOg
QGiMZoXdWcrJCpfkjoL3hahiIhfcGmrV0Kjyp4jU/hhCOEkZxNx0aTpnPmTOXhyPgcqC4H3Rl7sN
Hc6nIl6YuitUkgVuZvGDsRAKOkdVCAhFid7rpuKwLZqjIW1mILP5ceW4GhfLXDbHQdudRqUolUjp
cRgm5xPE0or1VAlhndU4wAvHiQ/6Ql/ytr2x4KmUlOYCWo1L1dKOQcaatYcksio1FpADRE3dqyCG
d0l0ebTLreYDKtmnRkahkrZp99OpYK6T2oFnj9ZF0kZnpofXpItry8+m5BNDwQGO8KwJ2Xnp4FqZ
TEJuPQUXk93mflgWbAnZcjVzcAG5bSXbPdhfOle4KRtVWHTmZNHgwntzltntUUqGT2zoLvsh7m4S
1t5QNN6KJEjmCUqqwzGOz4KUlMDA8mYPKGXh8iBpvVDWkPjHPAUaxa5gm+/zAJZJe2UgVk1c01SV
U4h8llu1IiYuPTrS0WddcCLy7EZyuwz9tCkvmmxq3ZK0uwlt5GcUo4N0wrtVOLp1x1olptAoXdEP
XZcchBG/5rEdqsqho6LEXgEBZ8pY+rrvsg5sGpKwVAazjOIr2CO+d7Mg/AwG4kcy/WByp4GIbpcq
cbrLnIcX8J4cE91NbhXL08huFoUlIT3umB+jolZRHVmqn3qhHPh6dEu9Psw7JbvEt6am9Tptjtuk
vqmTsFdFbJWq6eWpMdPM6CD1HJTHKtS9N8YsV3oMTlMU517Yg6xCZGnNddcfJEl3zRNxxCp9rEd8
nOku3BVBdcwm/lHkze5498aGn60RfTAovbCG5NIZ83lWhLGy7cbrbXRuypQrgnPm6xxlKq3bMyfI
FqNuGy8pUuESal3kNI9cEAUy1Q0wFoQz6WEjOgV1v5vAEhCDLNAJKD2I29KoNkYGQkueeqLtBjVQ
eVHUkix00V4Erbwu4uCEw3LNebV+WOD514EVDIpkHTx1qT8UgxlVuX5dQhkvWZBZ85IU+1HvHLMk
Ox+p3C1IB8yYN6DgcOJPJPqchvZtRtCyLVHoctJbh6ZJz2SSaTfIHFWMtD+OenNeS7uZ46pvPJky
e78c09MmsC8Lal/1jMQu5T33bDTEbs6nkwwiqMIdNUswg0bleXyShAkFhYUMqkJd6bMQAiqz4mU/
snh/HGgFGg+kC6HYw5iuQmldxzFoNEKjCyt13DHPPslU74JmtXAG+2wourNXyd3nt8VaxW/+G6Tu
97SOQ/L8fS74bEOotZD5OOiBCwroLV3vTQTNOY6835T+gQvCOtL7PQo3DHBduIYWVdBB5d329bCE
cZObQ02T2nAWtkh/WOn2AwwQ+vO2cnPYHh8q5BSWaMEe0bBJJnzSUwZo5USLeooiP+7AQZTNtFty
fhP0JcQu05l923LAP+ejR9lUgzDGEehJIyR8GIzFYfEywgHQgATVqgoa20OgKSqmbQbmFHzotXjf
6zFRU5QdSs0/N7W9aGHxu9uEqPUcOeY+TzHcM56Ya6DjWhVOWRzbZRmqcsgXqJyQ31aJVyZ5kqvK
Kq4yXEBGW+tyr6utAyziYL8Y7HaRSIhNZoKgZWXjoEptx7EqHQ0+t+vOhEHLspfxTRaQWvVlXvjc
sNarpvFTM3YHbYes3bTojpghi37oDpsxKnazgnEPTQ1oyIVUdi0D8NQwjwTzs6ZCIEY45qQC2dOr
0rhSIuv2bcOkp1uD5yB7ZHs2KkGnjCYGtpsewHdV+E2JB2WLNFDcxonKxvhTV9TtYdEj7NFqWAXA
DmsNOupUiI9BOmQqS8b3ApeJB81drsW61CdFni6jmncnFMVsL0IsU6hvkEuAeaqhmo4sDrpmVvc9
Vy2GPTqrCpJoe6KdB2T2op+cwwh0XL+LQ9AOEyv3mbT8Me+1ilMLe1roWxo10rUGeaxJNSo+Dsyv
rPjcbsfMz+B3VHxNgfU5uhmBmoyHQwWvUNDzzDesMTMUJMeah52fZaHxMmD3SsTjp5HaczRRpjSy
E5UO+WXPJAi6qIdXSAwnxYhAaAeC3gl9HNVCAh+qqarrOnRxDfIuMc0yMOM80NNyKpvE6xLLeMAg
iTtYEPLDqhpdGejWHaZ236lyeBm4jA8r3h0mMSlBEKeDN4kIZs3Ko9Kk5ihDyVEs0Rx1xCgZtcFM
4jaa27Eg8yKVH0aq5zJDJUhW7YVuIBvJoooovA7b0RCd9CHowlltVlNSXlW9PBRTg1U1BUDUcAw1
ip4UKrXg1RtrcZDrcLjiNVI6K3edMGezCmVX49inSth9N7PqBCtSlJdmGPtZbiCXKURwCb9dAkWC
KHQneG1iGmm3B1VG4hRiI7xlJR1BL2j2cgLGY7HoJB7SGQ3M5YjrRZzo/WCoPw9O2qkIzn4Iqu49
CyG5GJLsDDYBOupL51yETquCPPanAmOflLaHdRKfkyG39uwYu2MAolUD1QmP0+xDNYglENvjYkqx
ElTvFzxVUYTO4nEIVFEYP6DjkmpzkUOpEXSf0s97kn4MWeUOFSjrKR4aV8ZltttaWek2rQWRfwSh
y2nOOgxhLDX9bT7iQoESdmngY1Gb0Dn8xM9hkfSJ63TJPB2jXVJOH6O0+JCz6GMlzFrGDwIvs9gJ
vAKlKuoEiIshmZKZuY2ZPLVkbuZB06R+ynE0DxHo/1mBbuqeLmJtgTsc2VE0GOFlo56O6truVQ4s
xYW773XGRsqyQAHXQwjmggeuRN4ubMeyVBnXk9vzpPC6GNynAcWxajJ9GDvRNKvqpna1TPbQMPgI
ahG8ogdDTRuFbLMwfIpVHsSeiHXmBqkBpl91B9B2NhdWfFREYQkvGw1VUDdeGml/HKbztIwPZc68
EZm9Ju6vwXODRCr9Ie8XZVRFkPWFkZKxhLJKu1eNI3eR3fqypsNuW7d6PiIo7UAlcrhyRJkt41Aw
186beT5ZpVeFeNllA1Kg4M1Dpz+zqK4Vje3+rBTjAhzboU2qo8kZr6eRHqatBrmUJyqSBN7ljhKV
RM2tXYpa4UDfjml2CKoY6AGiPByjkqu4sKA0lB/zSXsBp51bVk6hgnH8bDIGTNogqsBPaa8y/aVd
A7PHkZtgAa7ZdlQSBOUuL7mlUjNk78OmO7JNN88beSqs7rOTk49hVN/ENMvcInQuJVReZMT2nDb7
zIV10VpJPmul3HfG7ERn9ScRmxJehDzaqxFkHN3UWT4U4Ro3SMZ4hrQ2Xgk6u++EDO1aOPpcjOCb
dGJlfo0mpLJpOAPv4sL7ha+gjlosbWxmpZPLfYHMYRyVBw3NMCgA6KBh5HOc98I3KTriY3Het+M5
8PBc5UKsxMTRvuGBtYtjdgkOmsG7jy85bg6TEJ1LYc0TsMpdg5zrjASZSobKdxIyB4d+qaco8bOY
nUW4XZAw4OBxQSKsxswVTZarAXX7xr5iVbAHVh+peLIhMeTArVExHA4MvoSg1xdB3lGVJHwFHOIM
U3SUWsV7KCnNQSDy7b7ei7N2PwmBu6P0ukJQRnSGHvJd4TdRnaupRB8NeGjVOAOoP0a6CI25a9Js
vzLhwWBP+dyQctmVkFckdv6xbODVyOPKLEUWLTMNQnkeBi5vqjnrIHWN6jJ2yTg17qC7j0Mjz7VO
/WK0563sTrOYaleIvvaSvEn2KsYPyrLALs6zeW9ypEB6+Wgb8CrJWNFdHfe34GvAfuu4cpuu+2RG
CtGumHVJhBTn1hn0xZ+OQXtkMGioyBml6zCo8Mb7nCcuKt6nw6D62po5DU1dJIajKerYnKUQeE3U
f7KaIYTiA9AIrOcYZchr4OFU34UOpPAFlAsTpto+69287APfnlCqYgteiGiK3keVM7lh29gKcqpk
lmXa9kJdQjYhyuXEJuLaErW7rU5uLCn8tqyQT1iZL2uefx6sdhlCrzcEaOwbO7+sw+B9XJFGBSk2
Hiwk7hQzIG84wIO6tr9kY3lAi7WrLJLSS0rnIOr0J+A7k5e2ReTm62woMmRm1/0n3sv9Ag3nHZQi
FMNlflLWEnSOsGo9u8jKPYSD3i1ob/ZiCYUca+D6RIcJn9VWqUEBSStPjyD/pZGAam0RpIoaOvms
yZdBl6E/IU4fbH58bjvbeFon/E7F8b+ulnj99LfrNq1Pd7kF+90a4qaL5okwvR7wJA8hUC7E0DTH
oMz3VZJGO9KB5VTrXxeBRue7xW+bhETsIAGdGtCGdd+H9aT7w96Be0ATrQ2N7PeNIT+QkMCmSdua
NIMN6UBEoQKacylMZUuTRklsRmhDcbyOTfMob8tFbaWxakg6+BY14QJoY7iwEEieWbk/yZORph40
C7ipmON6dAOzV7d7wViemiCAUGn7dp5Us7wRFvCFTomiISpucqGaXKtEdpEKp9bxcWsRt02r1sXy
/3N0Xstx41AQ/SJUMYHhlXGiNMqSX1CSZTGAABhBgF+/rX1R7XpXtjxD4vbtPs0h4clpnsUgbn3f
u68i9O4D+DrQXe/7LL080H5d8nXr0na9WFI0FJs1W535bFf/rW93J+vr5jAPEL5kTUdLk6qX8tY0
cWp7fzmPnX+NOHlyTfjWe+AO9BSDE+HUvVpnu2h8mlIeJOwckhGzornKGhs8fEnXqKDE7H6PQjKX
1Hpw25y1WKY4m32ZC5V8yVZ97uJz7/zvOljKAB/350+wCPy2XIh+CafhGGy2Bfzh02wjvHTq/qEN
/LswlPDA+n/C/TC932VDsmvcojSzCrve3LPPuhnO4fDVQOavhN1Byj0oSB6/2Y8wO/J5eIuipvSc
GeGBl/MoLsfAr+Rk8ti1VbiYzN/JVQWqqFuc9JvwL7OL9WZC2gbwJg9UfXAFq5LwhYyRKUYbw7nl
XS7msOpoCOWjv+a67LnItnDCPB4VtrulShzxOsrltbvEnfOvjdTt90WeAL9gxfxaEpovjT2tyDul
a85aegW3SMWiJiV++KWd5jBG/aHbzpEOrkFLkB/CvGtM9NaT5AgCuVpac9C+ny2Bd5wi/0F30e9a
5+dxwDIloorgqgvSncUH1mKj8sPdO/X4n+J14UUsl2xx9WW0MP2inT7yt0S+jC7PdySCTXfrozqr
Y3GuccprD79RH5Jjy+UxESJtpKlU8F53AYCRbbeFtmHWQWWRVn720V5GDTV5Z5PnsJ+88+CTUnhR
nLeL/tW+7lkHwYvW7WlHxD7cCe6l67z8BRuQR5HFRvLJHefIjf6eXmpVn5fZPA9Ol6sxhqPUqJwM
kqTad+Yy3Lt76qw/jKgi4DAZFVOpFypTLDM2p6lvK7+JH9hC+zSonTZr6p3nsoET3zv8vTGGZ5Mb
/JmpSwui4VnWu3PRZmwqQIhO1tJ2yEQcDeWiJFIVL5VbpQeZGQQbCJucdci2Seca1MCqP336R7Jc
s6923iol+u6om6i9c6i4CMRrxy1ROhWrtg9yTKajIxdY9+vY56xnv+GRKBEWXJ0ZYFQPYCmf3XW6
i/r2Bet08Iy1NXha1d0Srcs5afTDQljqTFOmEWBvTja4j0nRG543I76f/9ndC7iyc0P42axY8Rv+
vK6Qr7r5q9Vj41wXCA0JDUYTfuZBeAigxWOW7XKHo2Be6hm2ZcNTG7WIUn5GeC0OJEEIhqdZbRHq
FwpxSLs93dz+MpMhmzbvbsF7D0g63WVWe++bmxTWA7xQLLWtROQ8aW3yHgKL0k/mTOXae5nH/0qp
jvG4p8OKVMdTBQtYHsciJQ4ORwE0KGQ3PV/DATiFaqsY8Ti859RMJFvFkzuCQsKOoKMp76OumL0H
I9/DbcAV8MdHCIKUPNoBGOjnZT8PnGVQjrCmIf6d2y4f5oeZjZXTN1iQYkiIF0J17oVgMO5Q2ij1
7/rjkipqnEq4WBC2CXLiPvGbjCCi8OePxri41+wD3qasXWC/4Odra3+ppH/YsS62w0PjxDcFYG93
s6YVcD5+84tazDgK5JsczbMKnYxGpjScl9Pi56SeysElGfXa1Ce2y5ckeLVdXzoyPpmuhzLN254V
rLavwj3oESZC+DMH+kRAGuzzDDN+OJoFyyN04SzfsXYWdnprwyvkbNrhP5hSkq6cQGvZtr+L47Yw
cVtttn6tt/bGTXLs52L1Ty3/O2IviOpi72glKM2EJWAl3BTaMpvbJNPTnGEuZm08ptEMBW68tJZ9
tqhjv5wQgRS/cM0o3ra4fVosvDqvz3ev/hDrpxixpQvvGIaiTmMX0lYj5AguIMrGWlW61ZCbUeG4
WJ5+RiyMu/2Zl+7vyLvUmrDaoObc6HkC9LIYAIqJ9zBpNzWwQLTnZnjjU8pVivNkhsTkEUQuTpNA
/Oz+jglAQabZEV4OkqV5vjbdmsdOdxxn9dBtJDdNXtsQl1VFF6vS3Ut+Otp//P9ryZ6BmrTl2o23
ULtlcDftLRS8Q5bUsWzIRgafRQRxl43+6JVIEDJvM3ilmle9+yDVpoOdepxBPD4sIBidmj/RnlVE
8LsN9osJ/zD3g7n3RmypJ7+WBVIVM3iH+bn4YHnWr7l9lQsCx61OqYeTFM4Azo7UWwf56/Ck47Kk
W5Sp7knLNU84vUzeowi3XPSvYfeOO6gIZ8Q5y351hrI1R5c1x3qzcOnUF2+GisqlFAnc0QjBWfvK
FnFRLUDH1kvNJisbs4umH5EwmXDw0mIfd1YEvoXUiLkned+CmdzdBjxMmxIRYs71/GAjcZqMfxo8
RF/gXhk/7P5crctQinC5d2yQw98r4vA8k29EFCAiMbLoP4kjT7W0jGe/NNMCKWHfxSJhAk9pgJ0g
wT3tglcdEJ0IgzRiypUzHjDeq7VTlTXDoZ/DEmsFJBtiQzUchadhhOJtcyb+xfxKj/qDLkku92jM
lJkPtU4elXFBxmIGCQzGXWfwmy+dAj8gkp86sAfGnjrZ5Io6eSi8xyvZELQMQfg0s+SzsdtzKLuv
bcUF3rhjCX42a/CZAVfBk2qLyJgF8qmPcaEijDI4OgVHgu38gY6BkGRd3WRmXnAM6PUGn00XSuGI
3oI1iwj9tRLqUzRqnsrvvTPffRLUJdX0ZayDG0vG3OAKiB17EDswTsLoqdfmssoQ7o6rH+t2z9y5
aiyM8rq+9NHUFv0Qv5OhA8oah4cJiEBt6rzdCC6K9mmN5ZgCLP3u9Vxnyfqr5mKKpPbF68Z7qMdD
Le1j5DSXoE+ejOtm2mzZlGwlb7vzitNx13ejc1587wem9PcidRHNW7ZO9jRt5HuCr7QPHNbLjPNj
xHGwntVgQCfF78G2QeIgdz8tsHqGsAgbJVPNVDV3f2nn54nsy8jCCo3Ht5B/r9o/+IigF2Yybyap
jSnUMn6D1RQrrTPVnwMLq3qdM90o/PXgn4p7Y79IO6S2eegt0DQ5nNegvwzalCsZ7vFAwAbULkY5
7FRkxhofnZjHgn6w5Ecl6jL002HjbbEAfoYLJuycdw2uDYCCtZzOZH9tG5j6+KU9xJE1DAcc0rgL
5l8bKk34nkbMvwKKzgT+AjHPjDdUI5iqUT15iX9QxLxG0IcsYmDD4bTFaQRfwWzdtfHDbH0dmzjT
yXfbq6rbtnS222EfnVPtAJgJ4asPuGyevZgfzNgfmWtLwLyHHm+jiEVmtcYk7p9DnBsW11xLP5WE
c6OOe4DT1QUzAu2dyr7P+W7OInrq1SGKn3fkEBa+WuLJDLZDRm0Am/k3OVDPLaJAfGPZq/AhxO2f
smAqt8hmwxpkg7PkYzC8b5TkrP6L2/REAKvPe5etG1wtyPjGXx6SFfqBBUfpDvQ4iuHec1YwGx7/
xzc/72LzKHya1huGCWxsOJhQMdSa3O9InRECRG2dI/6wtqBw2pC3vwgEtAW6s6ewJ+96QPQOPLPA
gL+N1n/qwiFnjK4pcQ0uxf4lhuPDZkiRv0vQw1m7rzmieQ3pFXplAG8oSQhIO2D17NVfIUWhrVXz
HZod0Pn6K3ISM+LEBtSP1w5HZ2b9Bxog1d28rCHfkr8s0ZK6QwN6pCt33hyd+Bjg4uWYXnisYZM6
9eeyRFAagOCtC/f44I2P3JwW7Rf4mPCMDYDbA3ulwaVbYdnLc6Liu3C8jQ4/Emshuoas3dXjBo+D
RCzjC6QLP5otSbmzXnG1F0riToloNocUUbyXJ3bL2A58ymJnA4Jq2MtodLmDDucdyHysuJ5bZ80u
76N5zVqA5nu7XMUVbCOGJQYL5hBrD05Yn43ztoS/4vew7csnt306s/XYWvNYU/dCh5+6g9PHThpq
Q2GoLTgstPzpP3fcmy3+gnv3bFh98GlTNZ1IByXyScZ388CudQLsHSunp2HjLwc3xu3U0fNcq8wN
SSYhUsR+imCo995rG7YHHr25WJZ69iWQoy1cH1xFX4ADnbDU5J4C7sDLVvV3jayLSD66wDEQtMSj
ygb/7yTBCSSf0j1bFlcibXvo/nIvuf+MUvatEy5y/6PTcuybt1W/DtBglF44KgnthCCCvuu6KfYQ
E7tDHrngVWUiW4MYtmCXijCLgeOb5VlDNjvdnNY4KmbyRG2fbRv24MErXcszDcurn5PU6d/2kWMo
x7nbY6SaD0J6rKf3Fu9PF9XlDtc+YEm5oPuh5g3bUl1Oja4GR1SIgISTfGlw9l0f5VbuBZeHDvLK
s9eB11mI7oWds8BH7ecr5OCe3G/0tEoieebPh3afqqhtj0jryj3qC5rU18nbsniBXase220992FB
1XraaZLGHnj9fYFpu2fh/hlBwntoh8xGVCEEViTFoWkNlOSQLQu2nnm+hAmEIY4de4nlI20JEBeZ
hoiVguQ2TVE+ev6dSyGqSX+XNMnHCnTDMI6RDFMPssOCKIHne+fZqfzlYVe1Hvd1Lf3+1Qt+pn6/
WhGkPp+qofHzNlAQW+jcrBtDpIXYaFHd0Uum+041spxGlvuafNGufejJUBmGU3IjNGc0AOxBCCta
ET9ZYIEglSoz6reI4iwY8Qr2CKSGbh+zbdgepqjecq9LvHxbyL1ddek4418RvbTyt3ASJ4VyBfgK
do7JCH3ovLDe5iGlFTj0wqzixPyfaVMphGk5R+tDlyy3CYIz6WIwybwikz1spt+zGVRceAG2g8EJ
+x+HXxDPVd1iv9sSjBZyGMP11zZ4sJg+0xZUC4f+tvIBfllq/87LcYfv4mO7mhGddgp5Hk5n5f6N
6Yop1Z98C3Eoh2ONVyhNzMeGs9Wr41xhR0jo2UWStO9//T4udipOYFgwOz8Nrg0Hr9sgzwvW+pqZ
fEA6Ovn+nUPEG86EdLJHr4n/KTVXWzDmNIF71WlUUASaP8CdZnFuagTMy5qRgReLhxTM20+2b+6Y
fQ+16hCagM6X7+jqYOcZwBRsqQ66so5oUfv2eRfxsfGnIgB7E9PnPl4r8Knptn0kAQKib+t0FbP8
MFP6MK8cWUVXUtBA0st0rTGAQHFt4y2CG1RLnoMGuLZk/UR3GP6336baLsUGYCm6R5PH2woFwKzd
Pjdsr5P7GLvgEMlCD3wAHrA4oty2pEesC5aqlgUj249UqCn0yxjm0gl1RgFm2sB1ztcWB9yPXoqa
OMfncHzpom/HjoXaIDsnD68KCVnRKyyujbeLY5O4CHeJBevOL008/vODf36H/DTglwirtkG1R4Es
a2uG7QF7f7jvUCPRLbQTqmM1/rTtT6vIK1JoTAYw3bi9EQhnk+Nj46/WDYj4fDIj3KxxKMPtOGhk
8H3hmAGi2FZkdU47gUcZ6p+m7qG3g+PqndTkoNIFDQYzdBO3dgyeRh+dgeBpl4Daw++O02qiB3wE
V0Vi4OgBLWL9EQZjSniHqfuAh/48hrgPTIAhP5i8rgOd2hAgopT4OfqUhs4z84ayryFp+yT+Y8c6
T9gJ8XoWROq0dPs31vXU7BJlsuQZjY8R7ELk5eF6IePbgLHPCPK7+QKKxCNNiRX7/0npjN0bWk1V
G2DhdPoDlT4mMBQE/fLatUt7W0bIdQyKc3MEleiorJ33cg1+jL6GJAIvugFu8N0K2v7OTL+GLFa0
aH9n2J41ZL7riVzO6oh1KFXzo9dbsCyFxm+Eq+G2DEBOVWM+Ez6+1EQDR2jxZ8Ukepn49Op38+fE
t3/jtKT+hM1s7zM42L6MMyr+eKjeAZ6rRe6x+hc+KPF8UPAThxH3CpthZSBHBGh72qg9y1WnHoQH
bNhsoNObHJIrYpozvv3sdPx1w8roeAfPJIcwudhuuUQWFvVyNYJW1vUgaJGaTgoURPsQMACT7ZlC
AzfLGy9QvICcHiOaMtFfp+012LJg/kY+faenZwEajmKnFQHkcrRn3ARPYrt6WLb8hp29dtQoto1D
FnoaSACdMmAJB6/WzSF2+cvsoAAiKOANcfY43nE8YzWV9CuxyZn0SZ6M6lmb/nuA40M89STR0Qva
upivY/d33erKhXuWNFHpKthIcADksZmdQusIDMaMsCzJV8+eAwo6ELNxtiveNAjY0McuO2Rd9xDw
19kBcKGb3BtfVRMdmByfDbpBjvkr6J/ZU3dD/4GX47yElZWvNHjhFHdqF8B4+BQohVjgvmsXpl4z
prODbK3R15rCtE7MEVsy29anjeOcUEGcb3HW8zFMey8pux3wB7qeNPnThQ8CmXA8/UW+WnV7jyN8
qSJ3/EcRAQf9yTJz2DyahnNSzlOMrLjNXLxFXvI4T2vRku3F1xXIztzp63yBOOEUGHwIaAGbVTuA
z/xT89cdO0dD/yTIMnXsPjCis7n7JxEodP1e9hQRd41EJG6eksH5brf2GC7rdFyTyRTSpchLwXhZ
wdNpjqrZBaaz8temNyc7eFdo9NvsTSB16mgDP4vb3h/C0ywxezdvJ2Xfg5NlPl4qFxx1KXnsnayH
RMP1r11M7sY6fm52pBBYxHH3ieB+Ai2yEnlVel5/aZLospJ6OHZh8uZ2i7prO5wMrXwXUfu6rPuG
80WCvCyNbRsYGfZza9p0n+QJQ9M+zICyMxATbxGi3WKPOsjRxD+KPgI0ZE3le1DNolkQhOIPiMf/
5SQKRzimMFBvROFEXpuytcetmU/9pFI5tZVs19/vLpxJFTLErDG1rpBbVXVsT4GKUuHUJwHHiUg3
nyMfC2j0BrcVbZswFctWmpUBob3xqHu3HjkCK0OlQvawK6b9bRAkMw1pzv9/gZvK0r5zLh1LHlrf
gVrwLnSa+AHN2zwJ24pAjNbglV22Xz0G4lg35ej/3TDxEdMAvp6Gam06WvqOd5+EwzP6t+10GqIR
1LSMv0LUs+RgQMizPvMtyGKNO5+fByHfp5b85YsthhraBw6uB0u0JogwRCMwvTvzYkyM0uoKIlBD
AlpPgpIdAFzBdFrmwxrTEqWvEXS8PNJxhSLFYPWbfDanacWYm7pzE+IIGkw2s+2CF/5igc637btE
4pZ0NGvUiEacV7RAwEeYzx6ultFZK45zCPR0Pq2l6Rsnp4Ri+ekVxKrFDQGL5zpFbXck8UpTb8yD
Acsyqr31wZoGOI5EDZvqB3ckoIS7BWY35hdpGENFFwijsyQXFjj9eY22+4VM+4G5C+q9/Cqs6z7b
37vYhPIAu58C+7j2QTw9822GlcThCrsawRsHFkjq/bhpAo/aJLC4QoY7o9/CAxE+inyzKj0RHpSF
YbhH+AHaxmnK+mIoMwXlq6lQehGdDR93lEFGHv31XYRjBgnTHT8uIwtOMZMXa0rqolxs+lyMI7tX
O/sw8zSDKcI0HyPs7lNw/v+Lo3C7kxFLn9Mvj07rJOdwFy8Bf6mHqH9youOo9iGnNX1AP7yr3CRH
8wQ1bK0PTax/UM2OUbFcj8Lt/XxeI3qNxyAdtnU7LATvz5jAMQppj0GZ6Om0z4kHcBxRhUWwoUd+
2rRlBWCOAoAcO3E1oJoWiSWrF9+e+AIAPd5w2ntNXUmGKRDhtciCAC8hx9VuouGFNtF4TPR4QTmf
XfDwNNy9UVARM9IKP9rruqyo9XVo+6EOCwjbvSSEgfcUErd1j60WVRcaQ4Bv4R4XNZ9GlDF3eAe/
NKodtUh3zbuzEigYRODkEv8H9ROvQJWiTdkQwnU06jNCutkJOeR6R+U99rd7Kpb4xHrSHhfW/U0S
XJDrjBdC/dbTLS77czwE7yIJ5CX5NaF6CL5lQ38c69kOE/Nah9BKHGpT6XW/7YqoYwPznMUgHqPN
ee0V4PbJ9ZzcRIimZYDrWjfeQUUN3jkvqZIBqV60odse/t6lU7GFwXoaOknT3o8UHOckqZa1vRKQ
uJ3c9/PN31lz14m96n7jrrZuv0KT+CUb/W/tfeKtSF55bH5DaS+LazxkIKi/+5okTygsbIuA/BZT
KVn/DqDrGlFMAD68xpoEFZpNH612V6B74Zx7AX4g3ukFLyd+0LH1b+2EczboAn7gMZLL1ci24tcG
q6eAiZF00Wsr0JUhy1lHyLnwQTu6Sub+dVX4PuaQLZtjkG4zn86mU/shYC7wnuZbzeIJSj/JcC6b
tI7YrU6aTxBZeNaBGXYIMhhzI67CMWAWi3Rz30sEZ0nj3RKxbxk1gAOMal60v6IYu9IrkhZ2WxIP
536H6q2/QgA0OwK3uhY7xKS8MaD2ZZKMn20Ur39mEE7Db/kW3NRwWDzy7kcLgSMNSRl6/GK6FVUN
XnqrhnSfG9x1e/jEY3rrG2BMm0QjuPbWIxCwOY1qhO+TaBh6B6Eo6IonXxDUE5H72B/m7mWAK//Y
D3vuWJwszer/BIjIoUS3W+0TdNxmtERHtWCdgR3x/xe/icBOmxEebnDbXBOcl1+vc23lX1LPP0CX
Gv/Jzoim2oad0BeFLAWYCCXnNwarOzutmNtwJxYP4MSy4/QyIp+V/7AReFWsh31rxuWqw3xdu7jA
U0WAcAp56+J4ztouUheB9NVlUYbjEGvsCuCWLHXWqZocCZ9mcMJRwUJJCsC/xe/TDLjp2rMvCJDu
kR1IqP7Nu4lgysnxMV4J/MeRnHanxrXWMFI64QDWkC+v/sRGeEb8NDk97rN1PBNkrTyOsJRRteXh
Art2WPGgDWDnMqCYt62oq7irIVTWPkskesIk7CpF9he0t+59xRLMEzC+gjhnPZ37X1QQZ1tdbMYW
cLzESa/joZvUB3PolrO4/kKyBM2x42IQoqhtEJXgRD7FMLKSxeONNa4onLVBoLZPQ1ZTBbmERdrz
4aH3PF6xAfonH5BObnaelJgh/0OqUyaGOANrhxd6AEA+zRtFV56K3K/bd7IMueBkOk5T/GZgNaXc
i9VhxSQTbGX3LigVDzZEzpfoCQ+xeKwDAWtu2I41qMg98iX2Bw4kYwvDMlG+gyTEm8p+Ala+Gt5k
E6J0NDxRTV7au5gvR6exI6DNGRXpKf69d333OfRZMbHNA9T229EPoidC5D+i+fqoImoRLnG8JKr2
8LqgRi5iIp+8lrmPFAtMNi6IBzZvDQ+j8qpEUnoexuSIV5BUlgmwM4m+a+L5hXTxcpCTsMBxqX/o
E08cDE5b4DqCnqI9JMUsmz4TMkoeOl0XI4WHDsvBfZ7w/E3sgfx+9JygIPNO3yUtO8XMh5fM9CB8
kDp6UH+ZZvXH3ok/RH1HWjVXu4/2uR/7JeMr3kHe0tdFT9Gzb3FmM90ArPn918EmBvvnuhQkaJ9a
4eOEER2kUTsPB+1SNAIN4rlhbt5xN03VZIe47JxQPrcjqyCKEaGh53YKOcdfHXhz6gJLvg0GXQyO
ZkdZ++54g0LO2whzVnlBe21M212pYDZnpNky1KtGeC8wNBLSuKf/v0S//9SGghzj5o5SFZ2cScIj
djVsQdb4pSucL+Gpxk83icxlRgRg4/Uu2NFB4gE7Yai0t6jzDga+86kWOAkmJFtFO7r03DW1PoPQ
4dAfkbzucT2ik4EvAq2KDF3I9sA6TNu1s+QunNvleWtY2QSJfd4C4DU0/PRJ1zyzIECwzUhUtIOv
0C6YaK5cDns+VO4JREKXBpaaaqPTfpZqvGmXRHcUsYlZSpT8vNMwwRawE1bHdu/5g9t41bhIwJHj
hK5adxpqrJqRx/MlRFuqXboGyEx/mFat7wJsd5U/8g+0EDNmPXFD8Qq4ltPI2z6YHzE0Q173KFCw
VsrXvVYqR3Uuwm1Bg2PdxGshvNLXO5y+CDysN5jpWY7Bx+YrLG4SDz5YMEZeadihXd0t7jFskFg7
Qj1OqCyckwXuUBzKx5hr+YhQNuvRVcmmwJkOHTXRc4y5VOJZArqQkYT5yLb+qNoQrX8vrtOuGXMQ
W2vZt5N/COHClmoY5sIPQ/c0+v3PHnTNuVsPrRPI+9kbd9Qx9mtrrC1R9x1PkGsPYtu80syYPoMz
IGpTurmLf7+E2v+zG88WDWKpeSLsfh9Gcu/+fuFGUeDYwUuH1SAzkFC3uXHMzetCeE9IkvCZ0Nvt
/1+PI4vlVdO9xJMxSDHMPEonGsHzcnjgZi0Hxao1FVdQa2e8F+YhDLV5oHG9nT0SvKK7mhS+gyHC
h2S5BtKs1wHPfzQp2NiqC2e09Yg9gNmFGzKo5OLwFU/7gHYp8JCp2c+6FdVODaFdTjv175LQ+vCI
mVeG0kFuv1jvdfLxEA01iYMcuujmW/IvQmCKqdV799SAcdVTBztPqz8WFvS4TtgNO3tpTLJc3BGd
5wWuJ0I2oQ4O33s8QmJe79wW/0H39RsShrncPEs+Fmyz3T7fDQGk7LbNoNimGck9+ICR1WsxoOt4
MnNXP68TBUSESgSFer2ie5TgYVgoHfSWdjnxQeXEs3d0B8jscB0Y4Dv/fTHrfK9i+Fy1wPM5TC23
i6TINAa/Fk0OADJCL3rc71CYP6z4WLW0RXPgHg/+81BuXtp7f2VggKM5b3axfza7KnBwsze0YsHj
cDCHuH+/8EQfyLRN3XMWbq/RjjGCCXTo/AT9U0Gjm02W6JYwGNV1R2DwdRS5NUi959pH79Dr0Uxw
ASS7wX7GB/nFz7ILDtzLQb05VzovUGUAxLJw1th91/+4O7fl1pEr234RHLgj8Xh4p0iKum9JL4it
LQl3IAEkkAC+vgfc1XaV7e7oOhEnTnQ/2A/loiyRROZac805VkExUbsTgt4Y03SLRuBFG/Jdkvmg
RWzV3E2Dbo5GNOBpSiyGQwhAN45u5SuJy7UgUduDNrjMZTrdBTkqBj9S70cxOZcyHfdd18U3qdla
+9Zp35OILKnBhG6bBy0Cd5iVz1EatPeU5E9xasiTwre2w7dOAr9qi/2Ih2wVgQw4TFF0TTUlaYFm
MjZVuvWdrDzoanzM7eg+Fi2Ur14w53Vz9zVN7X1WocFPHjgYVxZIPXbUMhAdPoOmCF7jUF+6yL/C
tfJWycCMIx7T/EAwyFrHuZfuiiajcdz69jxdBOG3HG//LlHiqy3ch9JTsGrmYvGbD5uSK31FVu5O
h/OPUtK6+nEgIWhFYuMYZbtpR+Y2CgfFSnEv7hI9vZojOQBeuGpr8yrT1L0SW/xhR/XPKjLf0n56
4Q1K1xn8LuR45zyBaljFNaOxutC3FbSZZ79UmyTU7vs04D1H8woIp6CWx2Uf3kOU286OEWz6Whor
t5P8/ZY82mI+U48kO0JgjLaH4c2u+/mmXfAzbeE9JcHQrY1SW4zK/EvG72hkM/HopPL2hREzeLXO
guTChpgRXrJOA17IES9KTgOzj6DqaNoPWbnzWrUmvjbbBA7nFcW+WpxfeZLQK/Su3nVOXZ7dIVR7
ST3rMkKLYoP5ipds6N3btcwB2Yy51HsAecep1LedGDT/WOTHnMhWqLz7JP6JlfalC6boIHtxnkwy
t2FPpj7h5mxjE3eL6VCgntos626yHI9OP47J3Wg/1nFdHlyN8SBQwQULkl5Nc62OUpQ4dPvU2Y7O
Og8RER3qcbx4BOWQyuMQlRBwhyg5K4iOBbSnazPInd1k2/GpYx6/LUwU7nIYnHMuaR4HUWkqtNZZ
2xGar9c0J6fO5o00cOpU0VFgMbtgGn5Ims5CzaRZ76tCb7METAShocUK4rQcLIwMRPLUtlF9GbEL
MD8qva1tkjU0k97E84KHUwZOvvIKvs6TlV7LKc6uvbhVDR+AizS8GnsQAtpY+HHhDDWIeaVXINd4
7nQrZyG24xyQafN2Hr/wObV+TrVT3ebS+NmbfrdTU0AETgft1pknsSMr9THCkLop1XQswnEvCwRg
VZ1JMgz0dz7KhQkTqTar8hjGw40z3A9jOTHgdv2N1RzrUf6cfVygYnyvF9tM3lhfdmZ7+I7QMLMM
D6RKlc2/eDXzQp6MiCmCcIpybTMTOwcNdKsiU9nWKMb2JhzbszmEVxJnX8o05DaaGOQrBEsgFLeQ
Qmx8oFyM2OM8UCeMmBK0Dx8hZ6XcHrUoEc9gkuQ68rFbDUgiuQKiItTobEVq8aZZk/GI9LTKwimA
eOUWeARIsIJF6E7oZwofMGquNiwIAhblN8qIG6RM1mbLWJUVpKuuoh6lZ7/turlh2uNvIjO0djNt
9MEYHX/X+N1zO07fTd+PZ0JV49lY/iu0jZ2UfgQIgWxkTnm/A4EYbxPXydfC8g/EUppN6TtPg1Of
KZfbvTvRz2hYU1vVN/btbNnzpctf3bDcpm6U7UYzf2BmMGKVmaZrqxU6Qda5e+Araps5gbOuEemy
ygYHJU9RHHWH0e3J/WZdu5Hu9O0WRnA/e424N2rt7Sw94teBx9R3aXzUQZqsmHG5W6swxR4h41jm
2joG0lyPiJs3zlNMtOvsFf22dvs3aB5bHKHWKpNfHOTVrhEk8Etv/JkJRuuZdD49/xmyIsMo0c/X
WRwz9Zro3mdaIcoFqbG129TaFpPCljmkOfZISINOX2FLpD0eTWwVEFFQxLnCG9ndcpyvsP6Ox4kZ
eu5Tn8zRLwGO8SgtwFiWla/n0jLXpt10yPr02zKClOX+MD1ME/bAJK2H7KKIG7hIeKmPfbxvbktI
C+s5H5dwLYYoA5mj9Vw6Kw19KnOsaY0Gib7RRh1WDm831vgN04wj0GjKk3a7Bh+RBQKyyiL0TRoc
q2gQdjuCR41du1gFslvOLr1JS8bdkXEORWPdWKX/aFej2Cup+GwLsQt1QjbDIX3YlN0j489oC8zA
WHkx7Z+T1mclInAhJlDPij9E4MHyqSMNoqZri5z3nfrVuzv0dPtSYHdBtF0Dhh/3hjGPx8avXwSS
0l7bODSdxmEehS/DVsslTeFezTgp6whGkCq88VzZ5fOg3Ac7S9XV1cPJGeMLZ/+73c0fqTmnx4i6
biyyc7ekE6wOMTdfZtx5bVg8MGve1R0hynTnVp8cs8YWIkgKssSXB5r6c42ocDNQsGB7ZuhmOzNy
0obMQIt9e8CQiCMaL052wqxdHib0pa4FmcczMGym1F+ZovpssffNYQv0DiuLm3K9WwMxb9Xve+kP
R6+IHwrdcnlZJfp/16XbkEoxotVZWXBcTkla72OwpXMyfgfDW9VbdMZZqS5h/BXXEfJiO1HpkYIL
Zzvf6YIQQooAsg6pP5cmc+Ijw9cPTeU0hbDVOnGflEVKJZ08t31Ebyt5XJeXcUSaXQ3kcsiZjznR
V2qX3gbCKbe7hTMn20nth1sC4eNGRd2njhMcG7ZVrgLXMNfYe419Vx7TrN8L2CQ3gzW3ZJKNbFOp
2trqgFljwtxpPbnzRNHXXFpqqlNGnnFW7jYiy7B2s6cmhasXBnG4cuidN53Phz9OwYxTJQt2uhue
rIZfMA4mQt+zfG8ViQecKAANwvFBMDPbaNnmZFr6epPN8ddA0qFAELlxwQDavosZIZTtpWsfteAL
j6id7Mreu4KbKrbaxBvk0w+uEx//hVDPUYQrleJrWJlDvc8bYvSl5toQn4MTdBxHhLun4ZfMjQ6i
D8YLJh303mlonc0ZZstopYup9EcDMe+vh4CoMpMOYOlnEYuTbCtFUu8W0iGemnSentJ6BnQkkJQx
X0D2szE95fjiO6nWDUcxmBTEvrKZto41/4gGn88YlYD+7c1IoImq+Kvz4/ZsGBbG50LojQsRFwbN
h7J8uUx5zMP0YNc2eCu/1oQFkXtFwXTRowGPmT0Feqhvej0wLO1qSsLEfDftUm1F7ZCvje4b1XgU
YnGPEMHHHQ6RwVyvJzEs1FkneXcQXvPTtGFaNdII13Y/8+RP9RP0EwPHv8MbNHTWbYBZz/V+4UN4
ScOifaud9OKWgfdFmPYYOo9hVnd3YxcFTwh3HwTz3XNMamDUxX1gxITS4/LGzqOeGaTOH5NG3/Wk
ADZBn8Bo6sbggCoWk9KpPorcfurHdLpXHjVQ9SzafHryo4X5xOx23WbeQ5C2sJh6kH/zWH+4VbUO
srsxs+aDF/Ppd8sEXSiN9ZFWcD27HoNhnks+EmQ7oF3WzvENE+XItw52W7zkkRQnyze8PVsok7Xd
zjgvLd6S/ycMl/9erPJ/HOnFh4Lyn5NeHtL45x/CmP9OCuQ1vwUs2SwCKtuGefo3eov++itfmyVo
sJ1Y6craCps9MrzmPxKWMFeXzYTCZYuBBQ4Q6nVX/42v7cFahxsjLJZxscbiTyQs2XzxD8iXha8d
uGQrfRDf/NgFCfM7vnY4DnFUJR71+sxsJ6+tvR/ARlLTLWi0nz194VtqKpjEUfjShZP3lHPdrSxP
nij7uL2vAwrpJsiiZ6nUqaACoRpqd7aRbQGDnCv5CgVWYfetuPCw6/LFn1apI06iTXdy3Kc+Uxva
NxihK2VBq8p7hFM/S7cTgcO8Mc/oa2gPpPKAjGya6rZyxbvSkwQ0HTwFPcNJZuQguFYlyXuQ3Ri8
VHnyo+4tjf6Kf92QQwRIoVdC4r8qsTRk5rDRNmJsdpH+BAYqeh6i/l5b2cbK+F0GeSUbu+nUPO70
PJf7jpAOVSY2C2I+3Lepfktx5gRSbI2af9Tj0s07DjYiGMl8NhMvWXlLGA6zYaWx0dZ7p7SfReF+
6SipAAVk90RQf9h+9RLYyOlK4q5pE/kYuRReYd7fCpPptCp/5GH3jSDCIZAhxg3OrRoJjNg6esrz
8VfNq9fOaL3K+WToR1E6O1M9SMY/5gjBB2goaAoyiz9TUKIYr3dhOW3xhlyyhTU6VVg0PfCjVaH4
u0gfkjO/tQGU9qKU2zFJ8mczQWzRVcfbHOJ/6zETiyXp1SfoNRQXHkWIvQojPrURG3a2aDEyrlZL
p7ByNS1fPmui9Noc8PLjmYkCZsODqagA0qp+qcrFChttB0c+gW25lhlhrMmHHFLvx9jddCj9FJzx
DnDRCz4gwOq53kEm2Ch3SfvE/cUeqoM9uz98G8dCNDClA5FzjxTxw6XJiqS8ZtreTG39RIO4KYH0
FeZ47PLh0yX3fu60HW5DFXnMtLKjkNavIZXWYtQjWmes+QJs2plEcUP8EWIHheZKNZ85htoqcsrt
yMxMD4ARIwC/x6zH2Dz6wGUm+UPkeFMaQhV5t2szzYgmFAci16dxRrownfGI8eqt8PYY0b+nqqUi
KxDKfTfht5waAhFqNTcCYuuPsNvNdrCTACR8DBiiGn6YRrCPIrTHimZ6Am5XMiCqM8QBAPMkEr0g
HvckpIYN2dTyNjeKFjxCyNDPdTBd2schcx7raL5NlbuZAnlgsH6hLnyBsnsCDsUsDdx9m3tHJhUg
oboMmztlsJEy57DWYfeWldHGstUlF2+lApkrX5gKvGGs5dfu32RbODedF5xb07Rvqk7zaZHo30QL
bTxYuOPmQiAH4vLWgSQnIx3isrmtjWafQS13oJcPC8a8TRRQIsjmSYyhmFzan7/d/ntX19O/ZJD/
/yMC/GHZzD9fQuK/xNWyY+qz7/71q367umzWeuD1CB3hBr7n29wNv11d1l+WyyyEosQVtmy2/vvV
5S8vMgMgt8LxQme5UP5+dZHX9LgMXcu2TH7sn7m6AucfaWXLJid2b/OjHG5R3+PP/f3VpeykcDsq
qY1TMwuOTZdnrWljHjL1WJretLf5TbfhZB5sM76fyuDSO8RSbEdnm6HQH4phGPyd4RAU0JKdXhFc
aw4M6kgf+2dtmczQUSeUG52mZAjQf8YU30h/aibrailQn+P4ODMN2SQXCt7vQY373MPXKqxh63pL
sMsQ9XHCh84j6uI2R47ZN4X7Mzb6HSDEiOo7nslCuqBNdImLxyNxkN5FbfChTfHe4RNbB4pIuze4
2P4l0frOJG8pGkBU8cIBaeAWZq15HJ1yb7hFti8Y5jt2AiMtZio32eFXbMj5UIaaSHq6T215mBqu
qTYxOn62896UhFPa8Vfqq4+MHrz2/TPrBMxjUS7clFmd89xZuki9cqrwu4yNvdVaR8MSj3mQQk1s
7+cw3VUeqpHHUoWRPB1oyA+03LvI9rZYVSASTHdRVN4YgX1jBvo+iIY7W/U/hd9Op7bqwSpWdy16
6bavAO8uB53VeIeu5zJG5jmVsk6QNDHRlV3sMxRIceRYHXQBVe9NVT8mto8VlqFkJS/483ZxPvJx
YNuNMKLUOR6ZRo7gCWRL0gEie1/ssIftVSA/Bx1f27Ag0TC5t0GuWDNBACP3TqVoqpVZ6n1r2x9p
Nl4nBZ3Rg57e1uTl5bQzhwo+FFkbKESFW70OUfE2JeWjXL5O8LFsp9l3bk/ilAyYdqz7OKgvDvgX
b0wfCuU9TbM81ETL+or6Ip29n2auNkHrTUdSd+s0yIe1ChHw6wp3TJAfU6f/zskEqHL62UjvudJY
rEFecpV6EPAKc8+9cLDreN7NzbgvLIIa7JuED46SHLbTe67xpy6XXO7+gsaAt9BqGkgyGSUfqVkc
8ISBvTpm5EKVN1lkrIzKGb48P932MsRrSQTD7kbydNLy926T4E9vHsu8MUiVha/GXEF68+aVEVo0
93Bf0ubQQKXEyg31RwGYEW59axdFsCZefzdO0X7gW7zJwvhN6QS3pItyaySEqLyT6xg3hZv8lPBz
gNqJH4krj1gj3iOMqsg12HvtaCaT0GXn2sbPgAyyn8LCXA8DDsQkTfjM6ofR0Pepqvj2UXOIzn+z
eSoWCl0j9MNIAGidjvk+m9p9qemVu2oc13NK6GUKrGPb9TtZMUz3+wljK2H8gaEdIn9/P2rjOHVF
su59bMHsRSKf4HhNCYDN/LAoqzdd49m3VhSR0x/nl6aOyKHk9gnsdP0JkgqkcUxfLAcKqBTr6NpN
nOEYUZLT+7XfjKpuO5RMHqv0R+KReAjmTZYRwgqyat0EGOei9sZYItEDqTp7ZHVMluzaPnsf/fni
J6NLpDliC4sfPfozsUQYKbe1TzB49DZ5032lmTjqPtyL1D8URvNFo3BjugF40eRRRTlapGquZcIs
ihf0jfg2+4bxe/cklHc3jVCokqzT99Ix7+OUCKBI8SmXw71jqfnYuBn7XIAjpCGGxMVRtHITKvkM
4cSWv+JW0zekWfuWqYBsmTk/1mF165dDtSF3euCNh3jg48Bt2vyrBdK45dNxAaFGGzv1z7NnXMs8
498JqGZKZhZlYN1GBAfS2TpFaqQfHtwfkTvdiMY/YgTdd1737SrUoqlBpAiy1nlozfBqVCx7sHUS
rNy8/NbAytbWVHCuJlfHm7ad057D0Xie+CDXQ958QRIhnQCkl3ImZ3BQfOvefRsDthJhFHhMYve+
0Gw28KbsFa1xWy7AuYhA3WRb28mXN0SPToZ0Lk5Jeapk/N4E0zWiLFr1IryzInXF/TZtapgae2pq
rgnT2CrRLT5j9ahC3JpVvAtkcuQgqy9mBCGhs3Jzo/3yu6zE1TcdvZdu4p8bWfTnVILDtvMOLoc2
Xkx3QIMdIsLpebgdcX8eIATT4iT2uq5xZ3Q5WPVxxN7vNJg+moL1C5BJgAJMzX1UqaM2q9eR24hE
T0uGKPZvexlMsFmmB7MMEN7s+mi2isDD4NlkJRWeWvdpVMB2WyZPysCjbAzqbrDTz16aAMcWmTJ/
IXqsN91UXMfFeszgbleo1FmHifHReOVzgJU39kjR1325znwY7BPwzhoRcoZDEA/ZQeBhwmTBN96Z
9lNuXHx2MtRY/daWDA5ido52nR+xSyxLpIT3I5+J93FdsDrJ3jQa6qjf9/tUxy8RX59Ag3a2QEia
zr2V+9vaqM5W4n+lPkCNaTHzJ5XYZO148Sx7U9fQBIgvyQJiae9+NMDiurxcWX15juf4kpXwu/v8
oAuDUR7Q1NB0jgzEDZCSpNWFz39ckp+CQJG9mT1K/zEp4oPHMbpJ8i/hZyiJJe1PZcLG5H9bZX2P
R4+lFbdFssisVfhp2v6jqbNsq1X84SXyRar4piIINzDrFOSUca0/jbqOcY6SRCV0GD9lPQlXPjwG
n5HHChSj3CViWjcyZn2QgzZd2Jz+xrydoupp5k2Uofve4rPAaxHv54CuLydYhDXwFpo7z+voU7TX
Y7uVbfJJD0PVHhB7GLPxVjIEBlAM86ubsdwsUmrUtduwagEjeCaOXBR0nTvLm77zGh/OjfTWlZdz
y9Yzbo9pPqTL4FAsrBx+u3mdEeJa2S2hmXbEWqxxkUZZcCYzcGv5yTG0OccMCIzYvY9K9nvl9PvJ
K7e8Z3e9EDeiLA4pPU3Rsz1AmNd4hMRjCJ7ZkaRwa+Z7HTc3MYk+1g+dOvLSTte8tWSZMJd8yjEC
H4AnC5sVWvcpHZOdhCURFN7WarpPWQM5ixu8Z7617e3iZHCZWIwcPKUIQmGshxwiZMQaAh6/Lrrl
0jk4CyNlYsuMcKZnJ5ug59tLbO9RqW7T+B7s59zYOmQpHemSUlDfI+DpznEpVuV71rZnHZqbaug3
BcnKzDEOAz8xkcxM8hxrQSPiaWPicBonsrxCxy69pnQeJmi82DUssqTpa++hA3slc/JR89CV8jtr
FaWx2mUuZUujD6GAO97Mp7izUJd766hw7EJMMa74hbwVyPS3OkAM760IznpknbyAfQt6eWyZiJEB
MyqUFGgMvUn0WqbquxYFiflqVivy0vyyc/GzJPoAeZJe12NMdCM7vmqRhBSwDAm4fcdN1WbizrAJ
+vj6hg0WF5XmAZm58d2Ke8ECq9I8uFPebswk4v+0zRBHOC1WWthsS5s+GA9eAvA6DJ6RHcrqNLYj
PJUAzn0+gwLVfgqyvUc16JhQuMzLfCf/yDqubrMOr6nyPqo+v4u19wETjZpkkp9/vkX9183nH4h1
/+Ok1YA9J/+5tPp/0hkScZ8XX//cpS6v/K1LXfaiC5MFhiz3FcIUIOJ+61Ldv7CZ0COZyNpQ59/3
rfyHwApT2166V59pjO+KRXv9e5dqsbGbVSu2TY+yrGH/EwKrJ/5535UwkX7h0wJwBvW9CLC/E1ij
PFWd7m1346iyfkLVdYALVN5mKuhp5oktbpFU7p1waS7hLfcHb4ZtDIM2JzleX9Os/rKLFipB7mKH
EuT0Zor0tNLcSchsTPbu3Kz+VRbeYy0x2eSxoP0JH4PU7bALkB8vwi7a4CPgmQDAuWHnREQJ3P6I
mdG5Eqa9LlFnzG0aBveuEd0kKUsBGG3RXhrBqiPqZkfFaYjJuJrpVY71mYBWRea547xpw5dq0NtB
mZwTY4peWmB4yeb8vghhUCT4N8mKJDd9ITByGNXHNNFkW8VM8TphM+F4mAeuz2JwLkohrU5Tv8i5
/rIITNyFjOaKynvrAp8wxBINnNzk4s49BnQzp9QwZ5wnCm980Y6kmexg4xrVPYaJ6NawVLRRwTQc
uGs0iBVqQ8MI7gR5yGOPF07Ql5gAVTdRiFG0nMCU0aY7q0mqM0BkIAW41Yu6fEkzlgn2eOyqOX4b
kp6s2XRT420CM2ysLYvcP9VhvMmc4iON9SECSlb41TceqK2YCc0O8WasKVxlWX4EE854aBghWyGz
mrOk/5ksrN8GDyAyl3/tiWKQB4Xp33blc9XN1ypcPAo9CJNMdi9tYi+4GlzkbBZMzGcbHpCIh4pw
FzsbQROY1fCIK2SpEmCQJMVXht11B+BwN5iMyliagZ0m0Wh9+V05UnxPBheQnZGz9StHbi1pnvpU
uqsuy+v93CQpq1DcS1QUryZrJpiaBoeRR3KVqrncDa1PfNDw901Q3RQjZcQkMY1VzoRSHBOoy6ra
fQjYcoAoPLTOttPur7ojQG8bgdjMTqJXhhDgl3pqINvPp11emul71BkEKN3FJJ7i+6gK4e/SFr51
bdVyuVzKbTV62GWjJTAcxe1hjsWrtzCrASzxnEj+fEJI9X1Rmm+Jtohk+dkP30xP2L3uzLin+tf9
wXCKV8vIQhalYBbq4ilZs/Z0tQza+nKsbppE37slULfG87ZamjuVudvaYzsDIYAX5TKfozC6VAAM
CFWDP8oDte5YAhEs4zjDhS8xMpKk6XzBBbgnb7DrZvHTw1P1ZEo/4DbLKeb1wncjz8KGHs1lPH2K
kFqqtjNwVAR+JBwnXU8Hd2Zq6Kce7B3DAG0j8z3rzra56VPCT969zPSyHMnGZ9mlH16JsyJx241I
vXYb4EFOEyiJleFWx6imIzSH8TPHOQawuL1xWPMItBkrWVPcznZ3HwV+uktd45pYA/ESki549Z1T
VGS3A2wbjBLjkomNvkshzgY5fSKheK0E5DaziX8ZU/ThDtUTffxWddNTrct+px0YIdB+14QrmCMH
+xxwyHoam0ep27tC2ftOY6egmTKd/rUj6bImiH0KJjD1i7BcSv9Y9NX72OgS4BRanmXF31YNKGys
vgqq4VU/8N0vCm/eF4hNEAy8VWdMFd1sS7+fFLupayUEg6V2UHmCQVL/NKAmb1RcNTd1b259BTvF
tbOt1xH7nLv0MWR49IzrDi5z+1B71PORC8C8j8/JNGysKb+PiiVkXPo8EOG9VB3WkFLsfRhba+lz
1pcj/IO0l+dsVhubOAL8qek8LStgcgeZym+BcvaOgSddo9R3U36dsU76dFmgwZdaLPc/STuM29i3
WRqYmZAwEotoPsUUqoRIOMzmqxtWTxiWJ1p/FsLaWvUndmTFpEIwGPWmQC+i5BuUBU4sT240vR+h
fMmA2UpsRh6VTvCWOskCYJ9sLO4jdgoaTCn7u4Z1BidLaZzvcREv8OGVjKxXoubvzhje2oNqtm2I
fSEx0zu2IV2F5H30BHaxZPrF9lTzVLXilSWHB8/11TYMBmsfVAU4td45U0q7d3KYcEWRKFJ1Qsin
+ara/MVM2f3itOWe7zSDOAc1KKt39GSUYrN3LkjM1Bl24DB7TBMNAaFLn7JOUnw3715HjJ+A8b0h
reSGEDsZoYYwvpcTuNDzYtyQANStujkmkTxqXW8qIklbO2cYWYUWVl+21IBxpq0tCKHAS7B84FJs
tXqi9zNIt0aveMaBopbhTRDPDcwCZ2+zUTDu20NpEDMGE0NS6iaqIlKs6rHrDJt8a2cuPYQAkIav
JWMeZYA2q4V0ii0r14yloGRDVQvui7OF1sjrm92ADsK729qXWbebLhaXLq2ws3ohQ55xY7QVEhN5
MN3yjllD8+5WbM0ciMBXIexDaHAP6UQAFndin+DIcUkp8la7h3boPsiinpnGsKQRcBKW69YZfOQ8
UqWqm/eewFKBc2v22QXZzCHiEjuysSjxzZ4Oag4enXxi0ut4T4GM76u6PvX047Z2roCusQ9CGV4N
2OzRBm943r8iDweT24SLC9T7UTShxKAvDhXiTpxZ2brUZPqdsLqzbbLiTPzSFYASZ5FSrFViY+rx
G/sungrSwy7BgYbVlILjp2D30EoFGvJ0dS2kvJsNMgFBFr+woSheOXXyHoriWgjEPBX57NzCsN/E
1SZdJnCGn8JP8RcxRT7XQZnQSrcfudt+TimLGJyhuBRJfW8ECWKEBISUbvygAgPKiGLXd/LCAjA+
mGonhvDHWDD/NCUnFWFt/4h68TFjhF/nuuTRM4FNpdyoq4DLjKDVfOnrEhxwnXT7xrHfgga+Y+Vr
elwVvNkWJs2Ugm3PXWcfmgoOZDYB8kskGITFoFeH1v7PNx7/y2ZjAdsSfWjork1P51kU5/9lE3Lz
VcQ/hz9YPP7lT/itGXH+IhhmLuvK7b9is//Wizh/8W3HIbYT0gIwEf/9wMxHgg+Z4Vu++OOCR/8v
NC+BFQjMIQFWEP/PtCIW1pB/Wr37hz98aVV+14oEEXlmUUlqjCIjODgFx27AFwgfl/HOumXNauZ1
sHOCYxEFZwd1cGZZnUqxcsriilJgY5nL2QZGQHMj9fQ9lu2WPVmPxFfXeFy+69y7SZAuuUp6gszV
sZMelC2O61z9qLz0mHdE8ie2r2BvQlVZ6T4+BnFA+h6DWQPExYXkK0jn+PpSsLomgLIPRpONkP2j
KTGUe7mFcJZexpErwqhBrXZF8JRBEYCXA4Yze8iM5qXEsFISIPXLhk0o+evEWGpOL51JpemrQ4jj
kA09C2QywzLfCk2+O7pDLOqTmtWWDgmJJcsfWzp/ibrxKmrQABsXo6RLyCCs7YciJXmYZNCv0edD
uC4wXnZ2gKTVxWdJSsHprmn9biyUOsPt1jKp27U26SeCRLz1Kr5zu5DFPUX6xdphkC9kVEPjqfIx
AON5exU+PnbOcnZFHPg2Qzfv9jMgU9gdp5RdxQW0rCol2tg+kD54NGagQCq9kxRIYjBPNNYk12o2
3yTOFlw4VIF4xW6GnZdELHDkIO0viyCvu1vmaNtZEaZqr3lDiawoAUQOgW3e55QmPSxzO38apmdB
5Z+yGLyQ5rgyugHdCEIwcexqriHwBA8D1lOUzoMceD8kwSs9PHrVdMI4wCYFCI7tbRawfpArvBxf
huo5ZLfw/IpAeEzURx7gIl+YvtDDJjS/unpN+IHAvjFDk2wqWE7uCEYwCLN8tCbbIm0GK3H00UGv
5dh0dLzuKs1x+8ZAGAjGXceb2bhk3b8XRnyeP8UWqneJg5bqXr/7Sf9/cVz+79JpWA7DhlnHAb//
X0k1m589p6RMiz8YCv7w4t8OSOwBAlctexTNYDEOsDvgN7XGQ5KBMo5aw67xRZT5/RFpm0HghYIN
AEGAVe7vag0LBwL4pgI7gY3uboV/5ohkr8A/HJEujjvLgRGI5yEMmdT/8YjsAcpUgcgCkF/pdDXC
Ggxch0hMrKLAtSkFYiigyalo4D87NMOfY01raFQS7LjvpR8gYNO9sFNwV6mH0DFkD27hdLcTz9kp
dwJ/xQR/2TPShW9O75ySuttN1tDyLCbtK7OsdWSzmkh1mKQ8ww23PDJqW4/5v3F3JsuVI9l2/ZVn
GgtpcIejcbMnDW7fkJd9FxMYu0Df95jp3/RhWsjKqsws6T0pB5pU1SgikgwGea/j+Nl7r/2O+Oju
Qh7zBhGyDYfgCYVuwQLdzUVQboCS2Ss4wAeQY29z52LS0wqLDyhEz8Ky5FQ+2Fd4pmXqAKdb3A0j
RQWLyPA4IBNeUWoDtGL0gTjFXGmKac423AjolUKkOMTCgkhaZdEmav36Cgj3SwBPa+WhJhd+zGSI
Lx22IhNdWDxQtlRumH1w6QbiOq2i+0noU5hIGBayu/Q+MN9Mtk8pt3unASBKeW0SNdc1HO2V74gA
oxOYDDutLnM0H0nZYDYwf3hk3FZ9OZ56xyNPFxlHbvMAPluksYk+V5pg2EroObuvuB/kCd1r3MF2
zMuPRIF3Tt0c0DkuyIfrHuiSbbqY1gq5DXncFIbcD4WmCrEE/YRrvMr0Z2wjJomw2U7W/DEH1ndj
aWtTd6ZY7O4/J4siTGNq3u2uv/HT5flkdc9RrfeRKCGxROZVroaz4ylvJc3+R1Hzsqi9R9dsAfoG
wYFoAAdW438OQRycYlHH25zmAi/C6UTybkfE5VxazRHC9l46wXUDKxvldqQVZkzv5ATU0KIjhYRR
A0XT8hW53r7YDNr9KFH9EPThVsQi+AENgSExTb1NYifNNu1NaldbJP+sV9EmVpDBbOgdvW1/zcQN
lmsELfXTusG7vA+DJHj0CkgkZpl9D3aWbLo4AiqfzHeVCiEKdFjM2YiAq0XKRmZNaLwYUe+Sr6EL
vyza1ZYkN2ZEE+hikQ/2GqiJDUg77K/ygbTYJCpwhYHMyA1BdSQWv9Ni/FE2guARi4e1oEC6tyGL
8q33RrBK6UyNcpc+CauR7GaIU93FylhXhXnUiieObdTmIVyA5X6H+FERWOBCrrN1VJo/K37YBTSp
DT6hA6yveKPj8S6SlbmLpzIFBVEToMvM5meaS/yJVjfvJF8n2wumFkqvT0mUnkw8lbKS95MBjYj3
DD3MXDogOGOAZ23RTrWkc9CCIue70S4ew0OeumCZ011r+nCoS+MqcQN2VALaQ2UFWFkQivvgFlgg
qT2SZandfbotpfB+qbdE1vWqJFMJuAnN1hvzjd2QAsMmdW3F9aGgSpf+4xXEDPJN6DZ67p5cK6R/
IpPJeuDSqkqLUrKpNdaEYa1tZgcYIbHWN1vDTk0EdmKTs7AePM3xI0X1OVUAQHoPBm9EmpEKCbJZ
xlJ4sBRAsoqd1qnsJBeYigh0Od8y+C0Q3fRulPZ3ZIpnzhNYo9kzhIqZ7asVn8iol+up4SZG9GYr
FjOgEpijBjogAoOqoSXHFdr+drnQliN48Ep95nLYCZn2+7BaCoJEuq/9IFlpa7gqrOA6LdyfZetf
vDHGN2z31wPVG02lbrUNbzsEWz5Y7kPokfQt5uaJ8DDAzT64JI7/GPMt3cccVmvVsyLJJxo/sigN
djlZc9JXew4Cml1nTMRikrtByM/Jza9sM6z5ZHDVhAxOdhQduhhJGMttsAcneTuE40Ni99+knJ7a
gohvHzafHFt7w8pMqGqDR2tWU2qEpqoEnYnoCN3qI6q6E08Y4PWmANJglV+uhcBq8YVGdoERFYh4
7eh+xevUo+vDd0jEOLvBIGwic1wvHmN97Kiaa30a3bBPwpI8LBW25mSQEaLqy+C8iDFYWM0LT9Qr
bbXflccxmup2Z7N4g1EX8maLQccYqGjg4YOWV5WO4NWmvO0N1h4fYJ+Ro4eZV5mrFPVd5nwgQDs9
t6k2nsyZ0sg0Me27big71mJh7ZzLcknPm3Z4op46eg4SmA35nPNT47L+MRbBbdJMYAz78rPv3Zt8
SYbOaovboIbcVcSXJdTn1R5aqZ0bYEVwkIKReeS197OC57E2B/+TLc+JVyRxu7AmdFETG8HI8UJ1
+3bSLniVcX7z2jbBkNzrg4qMLxYP+9mPf1KD025ExT81H/Ov2IhoiBgJBbVVcDvlEoCMak6jZxyr
rn0KZ/eWLcFxJO++icrkSqr2MPbFUkqsafXL5+f/SnWCnhqcBwzTWIp4739U0YwiYZ4rwyL6walT
dFfJCLNb6h7uv56nVUArzsFzFPBe4W2MmM1G7ZrRpfLq9tMb6UEP0wY0REIQfsiuJrdhOrHVt89D
bY4d8H1zAtA6x3fiCn4L2zVsYuuUB0Dy4DU72Ypo4jqHFumJlJ9mMgEWahIiRhjsT4qAPbb2O5fw
dez2V1QeeYehrT7AoMNA1LDO0A8oku9zn5gDJg/F/WNygn43qlBhmPMaxpW4PVY2VZc1HBB0CSi+
rLrh0LUl7WqDe+pdWKyCbxfo8Oe+C9exD4+6BzTb2dGeQWvTq/QArWsNreXTNOyftYs0bLTjTevg
qvjra45/rbmdx6CACIVl9j/RV9OO5qj/g7i6fNhv47r7C5Ilc7rN/7HuYrH9bVpfVhOKbQbTsrME
SBiU/66t8jFsOkyPidMhKmvxR3/XVt1fJIkX6TJYS+158i85gJlv/2lat5bPBgIJuKcgQeOwVfnj
QqOOk6Cp9AjJG4TdXSzMdD9j2LgFC4P5YniBw3Abtax9LafjoFXZAEethaxmW6xClxrQhfYbibPO
y+Dk2+4jm1aW9GNYbl3Pu4w6pONXwq7NWoSJKWGfabfZk0zlObf7SG9SBASgl+a97xmPQxs9WG2u
XvuIqGlfj+FHIup+XzOrWwHJ+ilPj3llP6qYKtEwrlZVaFrnJNAF2Q9ARW6iKcZJe+/Ork2BE36i
TRANEOYz3ZljdXL7btiIMedfNYUb4aID9HRjOCYCsU+JVVhXb50CMFUGR1HMuyCCXEGanegLlRWS
etcouC6mdOBGjBkxoEpc1BhPumFB2rjT3vPCbSTFaSiJ9q4UeMrXpsKPqHqckVEbJPB8LO7wWVT+
5MKBMAj1y15XgwcQMiHpN1XevJ11dV8N/tU0GI9GX1isLMan3s12dToVm3Zq9unI8mAYTFw4yXDT
q6Kjz9eNbrxpegj09NOlHxpWEOlA0qg6dI4kL/DBuc2JH3i1BlPOQrx1gr0lQXbY9b3rmHdZR9Io
UhQbJkXgAnz1Hju/2cpsjPdVgeOqHR4MJloY2zOzw2Tf53WTXNyIRXjrmxABIo+W1t6jVk4FC18Q
04dvdmqV1NGD2cI6spKxoxC1zO9yPOUeKPdKZ86VlaWLZ2rjMslFEMBtwpItCDTmHEiAKMaHzq1v
TbM5UPdIB+xARsjGiKxb7wk1othVQl1XZf8meHgY/qC24wiSwvBTvQ61FR9hcKY/UovgLj6bT4tf
AjzmCxhqyoWFuw7orVxyw9e8HagcGfjCTV0au3nKrjFu0iLrk6JqZvet9dL3yVLVoUzw6OgyIOZE
KifSOOvGqgmgUILYmqnsrUKHjLVbwf52sa3hL8gx6zVZfCuN5E2W+k0zvpi2B2XIIuFiN1D6xsqg
ygnbtlEAYdcXN5ct9kE28pOsQAgZV8UUBpchiQm0tOSsY0km11YAMmaus4h6waZDsFRQcte9xN0r
QvtZYxVcinUALCs2/K0TXnKdHHTIU7Allj2laPsuT/0JyK9hGa9pHJyHRBsn/upx7Xj5r2Fvnj0G
nn9P5fekkK7Dqb2RTXSZuJmYZvfcmi7vsuExdWDOJrGz2L/LYWWX5U8/DTNQQ2n6HkOr2ihgE/Q6
AT/orft+dF3MChSNCGNAeNTNeDBDqnbCCGXLlf7OC1rQTSJ+G2uSZ1WYdisbqyfZMYPMfVs6t06T
fQLw8a/7vk2vq5D3mMK2z+qMcqFxguQX+DHZXORsUgrGdZsRAQhSat8cmtFJ6syvxeAfmStIX5W7
iZyYTkeJjapBcpo1Xs/wPiwrKjAwh3PPuZi+8aDz+WaIJklLVN3sYWt6a1dwqZ8aKL6iwNQYxjRx
RunzRKbP7nmCq8ilHsqG3sQe5+xb9TFfrpE1tole5he4GHw4C4elVfcU5siMZK8+0eLlrk7GswPU
0Lch1ATOLX3VW0+HP0BUO3vWO3etc4UFYXLsHx2xsgGUXWIsxmS4+0Wp613sYxIY1TEyuA8CAojh
1wEEXAFNuU1CanfMNjnjwQDAOUTn1B8/CiYg14EmF1OtQsNd6XJY9UB/1ez+cEbjvgr9ry6KiAWE
7oXadtBs49cQVXqlRcB00kYfJc+eJY32Zbn5Q9P7kEgjkv1h77iIhFQdMbnuasd9MJT8qEN68TJH
HYjh7oOBxWVE4h6Kg1nj6U7oNf7rk8u/mEDzt9HF+09VmWfKTCFQ/Xnd+PsH/ja8CHaDhGc1qSOP
aL36fdcofuG3mF6UiVqjlGCh+Pv0otCFFJlb+beY0h+nFwunmb18xl9DT+Kv7BqFvewSi3QKinxp
bSUhRa+pRYZb4wxTpvKWP/+DHMMlxbDxA1DIB/k2HPOLAVYjNwAthD7rAzV7Nz3nhmuz8barS0n7
mOekm5jd+6pryDBhU+pGtFhWCM0sjqMSS6bwzu7jl0Hw+EwcoNQRoB3IfCz+QgX7tgFz1ZxEeEG0
3bgo1mbZOCu+7DNms9F7rER6rQlkWCLfNhoawuRf8w95NdJiV+fyCNFkbYA65Jh7t4axg5XTftFV
dTLzYiT+wFquT5JDkZ7C2bOPYqAZhp5fbLmgQdJFCPcoGcDQkF/zEOcy5DwMU/IeAC6evGbT0UjX
Uf3QsyiFdXM0h+RaJ9PaoRTUs4I3G9YeNHng/KG73OwIQoRmej85aeuds7getshy2zgfN2ZQnDK5
rboABw84KkzgqRhuZPmF2wtt3LkdDWrZp4i1YPiFeFQP0zc0wL0n/Gco+8Q5VmUrr5wRr26d3ScR
3y77PqXQXYY/LEgYjqNpzKBCqdv59Z1qr6e+Wnko+47lQFwesJpivhvJ2hr2KXEeCgLW0gO3k3P/
KuCIanmphu4tL+8tEjihiI+AOsCs5ER6W4MpZhrG49jYMdAK+2gwA84FUBMcInCBPzxOq9wHQWLG
7n5cSDwae9OoOjhlOa2BGV5VG3vdXz9w/rWuSv9QKZY7zH98W7r+n/+j7srvf6NkJ/qMyncUvumP
vtQ/fZrfDiC1FCWrP1pJ/359sn5RXJ9clA5gjSZqyO8H0KKQ8D9T2CTzTcTm3w8gXKsm1zqXk8tz
LZI4f+UAksuR+qcDCCFcKU+6jgBNbRIK+fMBlFu2osQ4khtEArYeGcs/KhME4+PC2jCpgZgGwpWk
xkl1R28uDSjHmbEZQHZXYdg2SdCJ8VD7+6b1HtnQAqkkLUPLXuxfOmhSgw9Mjqn1xvPGlQedg/JN
p9kTaWTNMxIZUY34xvfAEp2/zhu6mNU1Fu1IvfpMtLTFED2CWVXCM0xm7kLepm/8nyxdTrEcHm0W
1Apn14bh9ezWzaYs/adCRg+5tCi8JQIdkY43iETrtGF7lxXl2vMfCpYeS2waHN1+nFPrtSJUbZI5
HOddiQZD4Bo2HYh8HOjoCxu5ZLLnxRviENOmDgWV/M0rBuBhpmQvRlCNWDfQxIxmhl1N3FsvuW8z
y1/kr0lwIuFyBsXDGi7caDSQYsmNN3Z/Yt0eAJyaGt73SXWqOIaCydwUmONLjEqs6DjSDeuzmhVH
KuwuHDONzeRI2dFwRWvWFwPaURKLIq25GUm4Gx0oBxLvRZdsLWt4CUzvpsox/ruSTI1FSl4m2cHK
qdok/sqQx461xfKngug5Gp6nkToGR1k3qTA5wxL70rcYUcvZvJ2K+qMJKXWvzNfAfCw1pfMESnSX
w+hGZqjGd+6qa0Xxp19Wez0RyzIC7PcPcOSI69XmOSjv6t7nJpBtMtc7JliTXB08utWlnXOaS8VP
x2fn2oJgmKybob1uk0cXsak6zjOA0CUZ1dXhZlhcNX3GrjYFnEVYIE7S68GbDzGvyoL6isjBxWyz
+UdiD5Lyynece637Y7WQFmrqFhDhLyEwudUYe6esoRCcHr6RRGzhIBOFxmYuGhZ+ER+eGrwe27Ue
nWvROtcL45z9/2ewILYcW97ZBMxkke9nVXxApbuiI/Oim/K+d9UdJMu7IA1dGoqB2g6CXjhg1p66
JofymM7DlScx7Clv3lt2cQbmHRP70A+JYuivQFpR7+1l0076Niy57pyIAL6Bg24yOsccOwQ8ChOJ
hsghbYTnoPKuBxssmHEDYvNetQg94xQL2AHBlUdBZWFEtzmigzMjFSaBfU28XvAq8419TTsm9Vl6
Ml6hiD2JwiG4JZXGY5VlDADyts8e0uyWFScmAKIxkPUd07jX4CxWZpRr2n2biyc6FncE0Wy4kWez
qJ4dGq5adhyR2U/vGaPQtsel9GAPQj9AAEGIryl3NyHeYHMbE2woll9sKIa+1AF2lJLut2aBHnE5
BeSLpKajr8AOnmiOadb/X55sL6SLy++v6P3f/xT8/+9//mXzt18H38XmvX3/0y+2uOLa6a77rqf7
76ZL27/HC5b/8v/1D/+NAZjP8jiV3//tv/xfOADOfzpKr79BTv/xQfbb6pAP+odkL8Bvmajh9q85
Cp5V/whYkGq1iVaQVbMkxqrfn2LuLzZTtPQsoX59vv1Bsl8IATxs4AMoNtDYif7KU8xzzX9+iklW
ndgkcVXxBfK0/fNTLIF1irXcdTYs8M+WY527GSVYusGjj7WwVTUtw+Upt30Gt9x7S12Rb8BBPUJ4
1/iJ0uxULOy2jvJoErPksAFQwcqWBOAws/TlYvR2MDyJEckrNhnV8/QTbO6PaKI0TNTWOZiwSRk+
dLyIKyolysNrNNktmX5/Qx7J3+LKKphAo+emJX7YYAtvh4hLZS6fZ6me46E4agQVVj0+f5kf0WcK
1VX3T5aTvomaYChs1bdMm3eYZZ6GUN4D0RmiCNacix+21MQMa/uSgHJu6GGTdnZTd9UF0sxayBzt
R3v3Rk/rWpOe66jrtxlrlq0/UDpeza9qTtn9oROZZXfMKuAqjfFe1e4lEsmwLZlanSo6AvJYJ3Tj
ouC48srleBwCe6fc8R57xi1btS/PfGNV8e2YzapWmtBdQBFpDfoMHeGp5QeC7SfZLzyHNRG7+9nB
rzm6+7Aur1Qo4b5XyMQlucYhYVIYYYQvyMV7vniBfzuy7zT6EAeZe23NwZHKiMuQtWwQi+hGR+Dh
eojAMauScAiuZD/b8AuHXSyjc+JjxDDpNC5MJOP4HX48Ta8+zTadQa+xmnGN8cLxeGT77RXxV05Z
28caMXnvHWDQ2AkI9Fllu+8gypq5s+UTbAsz+Yp99yObqhPfqH4v0uyrmtIFOnA7Ocaz7Jpzn3gf
VBWeEtrNw7i/NcrxmkeefciH+AEfAXqvyn/mc3rVFnqHEhSugp61iCM7eA/BnUW0fZrGK5rOGIUi
30JGyj90J1HExDanPa9T4lUbgBwNbW8km+l1XPMIbhwQq2XVviZ1/Ow1gMU43C9AXEBKJuo0+8nV
pJamaoelzkAuddYI1WlAhUIv8bXy7v5UBGyAUXqryvXfI7+dQHayj2IXA1agay7Z7KFtBy72bSf2
Nx0SezyqrQ18Lkrq17nW32FIrDqERoNQ3pAtbHpYbhIRKFW8U5xhka/h2/HUhgSTUI8IcGTrqlrd
9DNGi6aXeGmrGwgCdNt2eXdC7rqPNHA6rkIP7Ms3ogeRHanqRxsDUWgc8730mvuuNF4Zj04+tG5Y
MwiuTtQukiEhwPmQzuZaYkX0xL0NfbVI221W6uFHV4V67WNcXDkYdwhCgxuwFgxQGp9A51H6XnTi
OvQxqcRz/pKkiNh+YbKXs3EDu7SGx5gudNY/smI3SLvgCBGY6CzWXLtCOgih6F6Ny/bZDVBjgwy6
6HgTYZ3xBoUqKM5t6cJXzbatywhaJ70DnBWMrCfOltXSgWfv3Hz51pmChESNWYS8pTjL3jyNUoEe
SL0TBSvkC/gnNzL96hMFzXeAdhDXEC+0Lq6dQD40A4vmxPLuHeC3a1rlvsNY/sA1uxk190v4h9XK
xBe9ylLr0AXTK0HRT9x1RH1t8dEO6LSzOTCZjUdWoMR/Bob5vNkMg3WQY/CBhwufCh9SQ/2ZIyLS
JXvD3proUusb+qLb4i4rESQzSSvU3CG1cxWmKJVWBGgD8Y+Wn4k1EHgwDarfs0evyfdpV2xV5ept
FEbimJpouh0EhW1RT/u+cLI7f3HHG7xBDyNoW5UGajVMNu7IiXa3eG/6zjqy0uPA7hSzLVNgeVuX
7gv8iB82NhiZdBtZlnsjFtvZhxTVkHf2mbxFrzeSjfyqsQCcecFCb42HrW+hjEihNoZEQx0snDBt
H59mL723U5gCOaTbarL3/gxWcRL20Z5c4JMW3gVzTc6GCurauLKd/rvmzNdxexu7/oVtwWtuOYDU
Kp4hFpHYK15jauWadLoW3odXURjjtjitcLPIM52hcMyaEi59Q84lFvd9EL8F1fwxDnaA3yl/ygOa
w6yevoQIO6pNM8cD4dWPum4e3CZeWhUgh1qI92tmyhc9hzkQywAjT+YVqz4tXoPav8tj+W5a1QG/
z6eaCn8bGsnZDcgi21PukAEetvlAnn6UCR57oKKbOoL3puN+jSbPtJjqV6mxMw21s5fR9BikwjhV
Fa8KqX+wneO81uy0Hdriyi6/CW2iJjH5bszWJ8ePKI1qbiDMsxbynCMHh79q6H5/SkdFX5gH57wV
tOYVjqXXXII4IBaRx7Icc+GhDssPddj3qQr2KiBwZCY6RG8GutpLYiyt0fN7XflgRTXJw8K+HtOK
qsUZf5Zl9Q9Cx5QOx4dw8nHQdemtO/eHqHGeayqpiFRW5loROF3RIPCOi4VGn5KCtjB0SDZBr0oV
K3h+64puZxufgj6RfcUVnOKdqU1Myk2tydOMOPgk2GDPM+6wkVd4Q/IlkWPSkBMx8M6UKWRF/sGp
OgKzbnmiuirflKLeU63EWshRgFHVR0J/nRP5u7Yi+NMJBZSay2ZY5Z8YX6DY9VVw3Y8k5jujh8hB
I3JYqEeDb7+kUIqsAokdG39HbUCltPLxte29+DJNTrydZ06ZOYfA0HbuQQ7Vg5M0T6JsyrOOzG2h
0m4vovSjjSK4YyQknippfA9j8BpE/fecYVOyeZMCVYrZlYl2DQQOvxQ926NJHQYmRK6UWsCD6xzr
NGBYuURT+OXBsPcKNlth+xbhnQHr3zTrJAvttdOY97PfyC0EC9Z+w6vmsW8ZQDYdtWuoAbBcE8dh
cORp9VI3FZUYZF6GHqsBC0ATho/BkLoC67mCR7YoXpx9RWJ9NUJ+Z+1wTEbr1hzGq2SRtRJKkzLH
vBIM5yBwLunCkEczFp5zZ/bW6+CoG3Dm73xTL8FCRhxprIOmH2Jv0EPy0dGc1xgWwFO+G31+0yfz
dTsU7/hSHn2QCLQc3dc9pY1tRO6qGpiIPHYYmXrI3e7MSbV1jcI9zmImx9f6k7vvspwcj1kN53AY
Tr2vxLaW5k73hNSypLyx63CXR8mjMlk9KoMmW1W/QWkNtipxHlMtTs5U3lS4Rsv0qYpKYqkffZqk
W14P57gU39ol+2TyAu/FRao83ZgjDtPCvmPBhXMEvgFaGVFg2T8MQ/xI6UIAHgXNEavslTXLzz6z
wm0SsGgSNooN/Dr8BO4DG1aofqSd2jDUuK3k85hMqySqljv9Y+nWZAstkeEjhWGTdP28s7IC5Qw5
au55L9fdA1B3emJse5eESC1LJFTgaheeewzpfm08KJGNae8NV17XvjxWdbg1mSTo+zrZKn10nVCR
+w2JxNanRoXnKoQ3N9T9No79c9+rs2HzYOOavBvG+NoICtbm0QpQ+qZYmJguKS4FvDK2yGUHgSTl
XDN9F0+Q9bYOFWt1NBxKi3sGAgXcLfr+ymDYhbht8CdF24TxpnT9Uxukd4aMwAfYJpzC5FWG9cGm
70nQCWp5wxZgDVyOKV57vX3hYngqY5JYXtYtLtoJY3wcbtklDsdeO8fGJcicAfuqR1j2Sc0ualAV
pk+Xf37Y1Wo3OVxYHMl/RgXaWrlWvydRqo4ey+YVSkXMRodGzxDY19bgvUsuZKmQNr2H1PHlMiVS
qZcW0JR8+y5lzMKW4GP+FISUuccvPAZTVfplLjoeskSpNK2wte3QGTwqmmO9bt0L/Q2Ef+OI1L5p
4m4PbQ61YrCvmoZ+yqxBOjUsubELExW7hZth4tjVcXOLb/MnpleuVqnbXYZZhHu/4vvvK4u0W3tm
rX83O6beYDA7CvhqogoTUCUeBXPeS55n3aptl0GHdHgsrYNIQojpTf7hd9XTlGTWhgNjZ4z6fppx
NkriJ86Q3Jlz0RMyz6KtdOernknclhOc9Nkszq7Ebawsn6xM+Y1nRG6y0XK3Q2YSj+kfAZdxNDf3
5Cnu3dr/zhYijSXTdjeZyVkONCa08QFiGPVjZgo4NfFX0I1JgPDUoz26AwEtvLWhy/YUeiVCdFX9
nIL+RojpLoSpQb/aSDWBJkRdB9bHX9+L/EtKjMsm4T/e96/e0z763/ciywf9thdxf2EPD/DBQ8Jj
uS7YfvzDHOXZNMETBHOWdIKJn+p3eZFXjyL7YCqlJSLkH7f7LgxTSM3sTBbb1F8CTyjnn6MMOF+E
RSzCcUEMs2UhwPFHedFVZtdFhYRhVEQvA61a9szNfJo7Wl21vMtMHx6Bh+O4LpIfmhA8yYgfHIYH
t0/2itvtuumjC8Sp7qB19tUk9JDSpPRO669aw2d4iDhB1nVnnOtZsGtpH205ZIfe5UyOnHw+DCy1
46pIf7gRdqrUEVxB+qeuM69K/IDWIHzi0vKBFlLizdEpACm34B1YNPtXRkJVT6ZmuAk+vxsLmlbA
rZUdDxirBMReCLE1cp6GS96/L51HzKY3vHtpqSyijVH1z4GhQh7HKZHOsf5pzMFpFPV5roaXiIpP
X4V3tZthSxmbI8XrRzdpa1Y36XpgSZ/bKX5IdqNhxUqS+gBKbsNXcF0pRbbTsGPyfoGeIOgqHTA+
ThhfSjN7g6GodtVYHVrhiUOVip4rT1jtXe6OxwpUByUvDL2embpLDI5O5Xlu1k47nA2xNLgIygeY
On5KvkkfaVkPe+kDY4DBAdsycqr6G9makpXGfrCCTryoHKdM5vTzlkT8T1fZ/RIJPRY0mqykC8or
gPuIez19S8vs2S1Ha2OSZRsDQuRWXu5Fpx+GbLgVAUi72oHdHzQcj27Qa4B0dOq60TVZY3ttRMNN
1ZkTKKiE8AA/m1gex4xTV7isQmbwaGMm3qMGCTqq+LbTDKNVmIPY48Hh8EpE8PWILjjth8Vz20u7
F521j1VP4K8KiW+EDt/oeWLtHOJMoXWkfcP7+lSYOJUdC0BmI910DxCo2hc6sfHxBhc/Ttd2j3kp
LxhMSyi+pWfM65y8Lv3tgPOF9WIi4DiN/RqozNsYNhedeB6/27C7ArTwxWMEGnQ235ZTsmxVWqRT
e6AUWTvc7vR3b8yEHwtNbQopnLZEeZ/47dyLcGtV+8RIGPIxyhH9vKVammegnsp3JJBo74vmmsbY
a7rl9lI2yaodWUVkKaG3Wpkw4LhjAo6huMqwjoMRlj9JCgQ49SqsikEprk38e9LzAcxT/ujlbxJe
irsY/VxnvgptaiSihTpczultjk1pk+IPBCgCSlAasBJs8he6FJdksRNaS41e72ECgJ/Lfd+zqD0I
sgaoCSVPFnbEOLYe08WfqDAqElE6pYtzcVg8jN3iZkQysF57DI6d0I9hNN3TTJrsKMfEBNmN5lmn
yRMFgigRUSb3M/0FlABrvc7x1TDsUeK3OCslAPFSBUjymC4tzJfx4sI02Bavtd1sm8WhSQsntRJe
E1IZh5XTb19SiAzm4uvMKVTb03lX3tEbRVAodMUm4qhakhpo8KazCYb4joLwX4lRt5MAWz2K1n3n
H/SjxN45QurGUM5AA138VPfBKQRf9ljnFrq/Nd9M43wbW21N9eevc51f015Xe/Z145T1waMemnxG
lS5sm6fYct9KuaAN5uMohwcZNNezrPeW7901OLZX2stuuym/UQnSXVimt3No4ejPjkob66BqsH8m
HbNY9uZPTBKN3d2h9d0xhmB5oNi2bTk9yMYmCsNlXXx05gx1PP2KAmvPWHp0HHKX1rSe8uQVvlW1
snuisHmweKJuimam96Y4GeN4HenwDI9grYf6zAnH+4X8gMr8pzwp+QrHn/NogW6zTlNul5jeJ+oZ
qgLfNpu1ALLGKmzlgwI5w8o39cjGBl/2rMGIJfHHWA+3VWJ825JOwcijf1ZctO8AtTaPQ939kIEP
uzRzjh0ek61ygs+pzB/dhq3NMtH3Lub3fMo+Aw7ATTmxlZocERP1sXwIFq466G4gJyzKy2SDP/DD
G2NmxPeWCo8Zn35dVjboPl5bJJuRdrvPyvdfiqrbFHFzZbdgRfIlak9fSscJI7xoT2pqj2nyWVXO
qbbMS2Jnz0XK4kUS/HH1ph/7h1RSnjU06dalIVAFBCNsB4huvklqoHC0sVAIwcJlNcekYlVVsGmi
Co1XYxGc47g70SpMz0Sg0Kfdp2Fojiwo8tUsQPJWJFezCTdMPLaXSFI65tUTxjubC8Mqyuqfwfl+
zNj/gOx8zTLBHxfeJo+UvsOq7K9j+lR3duKmPzPclGXFcy20iQJV+eP/Yu88lixH0uz8KjTukQbt
wIKbq3Xc0GIDi8jMgIY7tHgAvhnfix+yVFZN94wVF2NDsjdtXRUWFepeh//nP+c7DcV/BmHCJQKN
s4nmR0XHC5H0UL6INOeU6qRpCn4tng9ftvBGto9WfO5K+imSEBngXzfHH776GWr9z2+O/zgM+8ta
bf7M39dq+IDI9vtYPBgBZw/a79dHG1CAizGEBZnx4yO/XR+BnTkOCG3WbYJP/7kYgvwsYhbeEHvO
1/5Nbz2uqL+s1UjCOg7PLQM6GmC1eYn48/Xxj/CKhI+ovPKsCo2eh3IVGOnGifFI1VDzc20b15cC
B2hM26frtasyhqOvLjSGoYix4cnv7BAmhrkc7FcTC4INCyrccVkQLKqmgftgtCTC+FTMaZDJH9ZE
Rg6Fyr5aeUQ2iX3EVDxSOoXRzHJWgfMycXrqE6V9dn3v2qpbR5QpTDV8Kt7LDjyjmHIBzHFAmJup
k2sHA7JFRsUzMed6VkU1owiLx8CzvE1e850LcYEsu/V8bU8iFh1X/z7E9tpW6tDpCSGA5Jwn2XNN
RtenEI9iAzR5eCoxGFYDcRNbHoEZSaFPb2YnIvxE7Ts02mIO1VAH+xw2zbMOIWvNqokxVeM69VIV
d1Zizcs7z+DnBuSzbJW0ZkP2cye/TalFbW8mmc61CGbybZe4S4mgAtwIOUGf9DUMR2pwZbnRSf1o
pH+GsDqJyF5PcySod1MQ5tVrbmWsldD69c84yGhFNXckKd5qO4NnEu/zwuhZ6IeU1JSo5lV3mQIi
xmk3wF2TsF2wjsB4keLMDuECS2NFdtsC8lIRUsqT28ov7/0gpk4LbExQ30GmQr83e3oH2FF0zWEY
xAHh7mTRqa1IPbWkn/r03XM+GowavpMv20neAOzktHw3ASP8f+9X+9Xm+h8Mr22dvv/b6dX7Y3p1
vvB+mQdYnxc6b2+yM78ePzBMTGgjHthEimF+vPN/O37cLyQY5gg+tEW+D4Akv0d73C/YQQAtcqIx
3P5NuL8zR/r/5E3jEBP0CDgWCR/gjTbf3s/Hj5KFy2HXkbMeAFSpEYScBVP7ZHh+/FmrweYmnkP4
0mPGgmbMZ8PPlOyUk5jLyKjso6RhYtNREbDV9VSjvcUMjpYZBNdJ6ITPx4kSqjgssmfhSOL4vMNZ
MI7mKaVuqsL1wu4/FhTD2DKvNvrgVLxXwnSrCsz7VeB/jlUIFTUtTdY8fO4Uu89UDh+aivrhiDNN
zLOGSTvwoimMV1p9+Vcwr0D5Ui9sqOEIox7OY8cGmsOiJLjcPE2ZcG+KwsH7GpHbB1acLwYPsL5w
nY8uDy8RUOG40Q4OT5ZlEbL9lgFaMebPO/bZ2zievrFh3nU5xX1eYhIT7OmB7qJdacS7geoMDu4j
Yvuzn3nYswbrRU7uq17h/gM/T3UllJF6yEFr1Qd2Aw8ZX3AB+XGr2cEzUp21gDhtrKOq4BYVv6a5
/1Jhpcr18EpyiJ9X+WdRivdSMNcKlSuyi6QQgpyShAmcXwRXKTdyrlnOGyudlYzjN9N0XxN4tAEM
q2aGWdGMdNYA3eIUMM9Cr4vFMKOvuJLqi2zGYUUzGKuZdBBZU2mjH/8gZ+kzRAuFpdwlP8ha7D4s
/q563S911zw5MRhnkqHutdHM+hgzAUWB9pQPebChFJGG2DG6aaNhU5qJzxW9EuuEF+E+mmjw4q+R
UqY5LxaghkD2tkJ+Y+0212W0Hc0m3Gia2thjtZkSztExZLmE9nNoyuLN6MZTacF0CHWXAbpQgJT9
+ORV5DaCTAMaOEIHlfn0wWRzMyCg0t/ISsPP3nk2fqX2FEk+C44oSjddRd5A6f0tgwkXZXMfmCgW
w8glzxnCY0zqJXbCZQPcMoNI1pFca019rlN5KmrzRsiGVxyQmtFeJX1/Esz/wgtxCjr2M8iEdy+o
XJJppKDqKNDpcIUHXLDkvSGfT2NOM/CSUFPO1iAHdl/lpX8eaxd48qRsdxH3ffmC04sRvaymaEGR
ef00dBMUfyXe4MHRFafzCAxDfTk63V56EHccVi4M6wB5lLZIh3wXhEBmujHDImBXa1fFt3RAi03K
bdvK6Cc1QcrRBLcJOcWWDUj8EncqixmJ8aHc0WFDhB8umUngqvDMB6fmSeoZBsTVkWJ2HOKxTVJO
G/Bp5+KZXuqB2qriSmqeYdWg367tlrGTPjpleKTk/G4gV1Ohj0RWfJenR+5NXwkI94uqELtEjPf0
sD9WlVauhB2xNOm5fARcV3RvuAc5jQfVa5NTr6FlyCZaVnRnLlskZNaBuOdZi0MGNCtUCGVdDEad
0OSA8aZy01bUMZthh/IVvKSa9h4YCVQfJ/FJw0Az7GmEhItC1+TUQMzsjkbXjusRg4L0873njJhA
auhkaOI3Wp4+GuC8y5DfwyDCTxK6W7Ppzp4S1MsW3cmqugdfBsem9NYjSfCFW+acmpX/oGOpcYz0
kXfjhpsp1grJfKU+hZfuwrb7avtzmUl+7rkyJAaFWHb5HDLDUqR7j9N/hqueh6bZyd46+9l4MAqg
eUChdtj4ea1R+q1zJ6vYChdTeme2YutPJOpkGUZclqR7P7SolTENB2HyXumBjn9Ux12EA8kxhms8
+OeI7me2xx5dYJhrKJL0HvFt7MOco9bJtIup5fuJQOEgu61Iom0LIo+FA3dLFLselYwERef1aBNJ
dguQ1UJIgq7Adpgwk4tIyB6W89Yez2EDcaKhQszM+33ojgQHnXIdsZcNeWlWfvSgWRK+QHZfBS13
w/Zx9JIPUSavfcbm0KCAEiSTXNFHcY2x6cSddmtTF1iJ7/HQgrZKbjIHHGjI7jrKXmMw3nEEdaY0
mdr1rGRsf3a5LOUQAppAXKpaHkY3uAShAoGYEUagf2sAYC9H48RaAuS4B/Seh2VtmQvpQ2dQ9nDs
Bky9oeNfpfCeAl6lB8tsIX8AHeYB37O15ypXkahv2cF1+QFHRnsYKvFuiQTMVdBsYg/HLznAVZTH
N4bfv5aFccEz76wsHVvc6IdrUAXjOgVASH1XF11UnR/1CS+bsI2HFFkG4vdwizP7anSYTJoiOlvQ
MvhDJN9TcAgLilk/JPvfyStfGg21WvO91zCKymXi5S8MxSQ+B3zcFLXufcTWC6kZ0nqDU++Rsg+J
X5wlJ4PRjvti/nnZ8XM+p/kbsIZu2RWRuUfVOda5vgqayL1mHlHENDT3oZGd/NDfCgWoEs9qyJFB
ZUBjA7OlHaLhPSr2vZdtwH9ydgZWfRCR1lGxYB+ChsW2W9RvbleEBFGAKDiNPKMx0OXYZ9QKm+Yi
IfGzEEl/Qgn0YnyA1LMGGfulFkAGpzZP0rLNz6GaPusqo/XGhXUe2fP8Egf3QRqeY2pQPpOWqKtG
+TeyInxnqk86HjkyMD6i0nQPAxZsa+Ewvy06QU1y2+TawXTFLe4y+LwNKXyZnv818v8Y+ef1yj8f
+c/v32TxD+7b82f9Pu5jW3AZpNnUYJ7z/sCUO19sAYF8voSzpvEcrrq/3bfFF27ZaE6oAL8GPn66
bxOs9U1BKv/HXfxvsQH5Fv5y3yZKbzj812xkB77YX+/bRTJ6nCVEJDHbwtyGOfdVs+E3JMZRL9JH
6v0euVXRPj0OL6GhsZCnl1pO0wW28bW26M8WmGYf7ZT7mKPGs2kUtImU4Dq5VzAxUlKS7S07xwZT
sQaPerEPBxlsBx2/m54oRCycEUUgY6TK8JFXrsmNLz1FNplVGeguIRAR7Hotvcim3/JrYweb0Cyr
EdPkyIYGOJK097MZycMbZRDZq1Ukz1GV3FkK5C00Zf8gKapEDhtFQg+Uu9VDqMpD6H7FixVAZhK4
YwlTd0F9IwvvXg7OXUmehKKNjGdnxNjxbA8u9QVtYj1h0XRXSPjRMqxHHzG6g1JXl9mqBSVq5N4u
hHbsIh+S+1pHJsdCZQ73vASov0HFRnD0YvVUzqIFQiRd60+xaLYmAqXbqrn4m+sx0qWLhFkgZYay
W8VV9KKQOFmR3+P3wdwwq586Mqg/66Eo14TqkUjHAHMCkqmypnI2aNo7iAcB5FaUVT9nFx/NaqtE
du1n/VXNSmzRgT3u1EPfJV8DVY3rANHWpEMJJG3/RpXUAZ71U9m6d6WbnarUu5SV931E/o1nv58A
cR1K62WYFWI5WdPSL/R7Syu+psqGxhdVHM8mue9eu2hzcZBWe1vup/FtVqdi01U4GOhEDtaYK6uV
aVBXT5vEM897MuUGXps2pP3R39J6vPaKHDsE3oilljXcCi1Y7551ab3qWXUNZZQNIPE60O9cu0z3
fGd4lFs3u2Oz5B8mVkx5TdIyHLDkhJ58bYIH3YeVgNXuJL30eQbuYAAK78bUlI92VJLmTk5Dosq1
Ew4ZdGSDPZqNca6pICY2tXNqSswQDTflHazqac+lql3VuvjGBd5ZitK46pK5JSt0OJLTruXKqXOV
LIriZoxgK8vKH89+ObEQTTFOYv+65qU6EAjnL8U304uRSVePIbqXFrF6o1t0CQBeCEWsUGojWhFh
ZmsEtSvv0xsKvFZuqK+DYFrDctzZCOZspWlrV6vG4RlHo2WLmc3rWixgvYcAPy3jNrlr6vaREDqe
r5y5DPTwQcfvPuDuWeJGuWZx/55qFIhWcf0SdchxGo1eBFKnE/6EhqUK7WlMjoldvoMSuCiAmLwe
QXz75r2E85Q59dHtsi0NYRu7Mp8pC7rWSOnsvFjGsJN0qd2xA/humuQWH92OIwU4unHFV+SwkQye
0AS2fdTtYy2/+MZdy30jx8xrYOql6guSELZXbfb8trMrBRNwiRm4wRTczu7gsZBv0QB42sU43CX6
fTQ7iQ1nulS6GR6d2WXsJfKmCBQVPNTweLMTGeTb2jPrjZo9yubsVhazbzmfbbhRk+Flxpa0xdg1
V9GW4KF9RrBCOO+uKV9s7lYFF8oGc7STB9zdRQ79qUHfl3p5kSmUgdqDCxrN/upSeu96BPwNlPLK
xoItHIZvxxm+CqmxR+mzLZYDODp4TThm4IJy5YhnU3eDuzulOowhKHmCOfXijaVYW4Be6cXF5GPG
Wbtym2JtC4z4knKcKR6XLNfvRpVeBm0gEx9pGqN2f07i7KRjPvdnF7pNLc44+9JF0r5idPqOxIih
sTa+xY4f4jHqgJHy2sDgbrBj7zG856I8jh3FEBo8bwzxqku+mbNDHnrdgU6FD4V1vnP7tY8Juhva
XWEqfWvRcLXssNuHyTCtqDU6BX7+oet6c7IMrMrgFGSCmAxdP8C7X6VzXBE3v4er35mcVYbLX5Pp
sWRKp+OVxBk5AIjUG0ELeTAHBFjL3vRE2daC7EASxXufLEFEZfdJpzvntpyDBsigd0BdqI3yGrnM
eiaTOZbgzAGFmKSCKFwmhwJgHbOKSZShINPAPIfndWwea9IOYUTsoZ4DEGgXCzGV77n53PgZI7rn
XG27u+sITriML9YYhlzrkqfaHb+1k3kf16T41EgMzWfEcPTg4PPwIJbQvvqkJ2dHsHnKR34DdWvv
zTT+tEQINq+9JmHzXqXDKbFMAHdVuYgzZ8+BCACRaLLePVdYTfc2xvu0NXHOetG215wjWk/JhDMN
d0NVPtgygKJW72ydSltgnJ+UO9IaLO1hgdME9EgK7svsLPjWCGPuMHzTbO04Vj7lVniWydRQWvwg
vWEr2/K+xZG9cNpoL+r4HEjv1hMcN7qon2U/O1L1dB1E1YdsPcoWpHWNE/NltCcyLfVTT7pyHL6r
bHrRArXDKP59rNHVlRVdgA4T4Bmyg2q8Yy8bg0McaZ76BZrEclbDrfNsNvVNMBP9Q9D++cz4Bwwy
rIaZ+88uHYZV39ylKUOVMbcDKG+8nQF1W3yupE4JBC60vviOuLPKNBKu/dw1kFI6kFE+0NcT0zF1
BC21BLoCDDbNRQVttEpFdHISY2sM6joM5b0tC7HqqdTuYd91Fr0HfdJQJzjpDxaVCKGpHgIqErBK
AgAraX0z7F2o0aLQTrBzsukbNsKG3WfAxpF7j9k7RxXTwWA4lWDLH+EFjpJNZ7W3TVpc1ICFZJLB
xe2HXTJ3OoA++ebPLQ/gOIu94Am20OL4tXJo3MAI/Uo9kkn3Z/wBeJGH9twc4fXWbTJ3SYzCA9mY
brnOUk3AFnQNVLGgimHkW+ThHFBKYeMxFHNLRUNdhT33Vkxzg4Vm1CAMkjBd2XPHRUXZBZGYTUr5
hRmFz+PchhFQiwFcCJmkSz9TvV2OTX7ow+qtHJsPrAJc4OjUqOdyjUqkTyHR9mVN70ZH/wast7U1
F3IomjnYHlDRwZ+e+kludigsyVzjAY/fXyZY18u54sPzq7uOzo84jo4FIfnG51flZiRbssTBz4hl
vIzUY8RNUGUos8S9lvZQqS3Gff1V+Si5Y5ccx8EN13X8PDJHJkbLi2c+6Zm6VrJ1Nwh2404NuFwM
jLg8VwOfv2icc9XjF9e3+nfPsR60hpABy3nt1q1JLBNR8hepFyDrOqHFG4LsfxZrGUeep7PmyUee
XjRT4kPl1J6IbqGCNKt0bPkKlo/fh53bzkKMiHOw1R78oWNhI2dYaaR2mMavYxQAkZ/0ckW79Qd+
l+j/YMv78A+bkf+vLadygViZ/xEYvq3y9+zPM98fn/fr0Gd9YbvLfsWxXeEQXfppx8IOl9wkmxIM
fzrL1T9GPpYoPMP92R04r4t/Y6fNsUn6C4Qw3F+4an8nNklI4q8DH+F/vpCtg00zsSrOH/+JPoJZ
vw00+i1WLZhQ9odA/OroOjiw390jZVGnvCIRHAL5SSaXiYe4ERYBGLVkkAvCyAahZKCpPPca+zCn
/EKzCKFS9k8JMHM7SvVtqhs30HRPvB0eesM9WyE+lMI6taShtZRYNAjm28R3b4euuktEeAOg8VTU
1YfZy21T6oeSDLVGEn3JA/vr0GevFC6eVeWdHR6BEcnsjIS2Pke10V9WIWSjxuYaKqZNPkCAx/w7
rzROLisKtrfakns5j2fc6YjFrWXfTTDXqmpc+XNOnHxjRG68YC1ZzEVT0thpIj+jruJdM9cVykyf
wzeBD4GE2t1YrYSC0u47g8jgQz+e+865mciuu0B7Mex/0gS5QBSzaGytLbXMhEedMpY4EvC9Thmx
cZQRCC44TJyoKxXz+8RTZttEXMjRu/G7N8fqoyLHjWlwJTCX2vRA3BYxmDW713yAI71WgYPsKlrn
olIM7qZzU+b4KJP+CSjBtaqiU07EHaeUdyLE+0SB1cYsR/pCByT1uNn6RfZN+vZNm/Vf+yg9amXj
HrmFp6HamfAOFp7rGLewScJ35ZZvQW4QHvQlAc2pqq0Ho0AdNVVArj6mk9YV8nasC4/sbOPsqxwr
qKhb59RZZNJaoe3o5lbM7AMPvIbzbRQv40T61fMxQGHP3CYeRoFMFJsBY9FD3pv6Z9FKOgwdOTv8
QClTpWXUdIyF/BnohCL6QCWiDtRrGDb+QE9I2G4ATMzTTomvFK+4jHbtj6B77bhnTLAUlhCC7/30
6s0hFMLxOWfk27+EsF+EMPLV/1wI27bZx/d/yJTk0349FBG1bJyNPqFy00H2+uNUdL+AY9KpwiBr
Pjde/OlYtCEouQBTTFjwP6LmPx2MUExcDygxOS+2g3/nYISB8teDkS/ACWvpwjUwYlt/8U0nrguz
p0Zuzt1gXGU2Lkkn7UJcC6SGjUJkZ6exDi1nyM7s0K2UdcjkbaCjTbjVsKq6iCavcZ1ZWvysO8Gw
Ni1IZgntH0fNGrBjz7H0JAh2HnAUc/TCq0kN5TAdIIpNB0/kHG2GPhHgKd713sjWY1GR1ambx5h8
8C6gYLLN5c7r+2LFzkJtJa4ZUn27jovtY1aG46PWLoKh2SYp1V2i7m/ICkVbG/TKo2YSdjG96eQw
Yq9GZJvlxBIVw0dmn9wYCUsvx7uqssVZRHF9NeWTnew1Zct39noZBqCUnJ6WIEeb3WOdNQ2CDYko
gIaJZY0XmiSsbc62CgQbwamwXgZ54W8D/w6xazoQ+IWOn9Y1m2ByDDAoibeV5av0kdZHQz6WBZXD
oogvDeDBQ17wtg7jpd9U4abutE8f2+s9kOd23Ta44IJmlSOIlINv7IADuovJZuEkDS7K1HKPTaUd
vbJWpzKfzcUdyH4aQmgObJ2PLOm5uLPqX1l+0G9SgzWza7CrhmztHb2aFJ5SwDBpKn9rmzo+AQeE
vq28Tw7kvS77dpu4Fv5L0W/ZY96zPj+PqQPoETM+Ba7GQpU0rco6TTcepstdaOJ37wO2zeiY4zKk
qDVPBIV3sJBxSPs3eavRMF6N0ZsC5s2y51E6RIgU4E0XJRWDNeafMAke/YS8a9GgKeg51mKUfcvu
73H32sRPYxQyKuVE+hLQ0LIzmZZYTBr4lDTkLnK7A4yTC1tCVmUKiKGdwSZVCilNwwWM2xMWNa8C
wmYQagaqGse2OqmgELdJnl1IGzo7YzIPqQlQB8j/XHCnr0kRguF2er4c8lvXaPFFpAajoUzHtQX4
EXAhjTOpA1oBX0mxoQOJeKyh62enHeJj1yNUzf802On3KA++Zk1A6aQBGXL0PruiJRWvheC2efLS
0FbrPC0KxKS1JHlg5QfHbJ2Vrago9tvgzVa8bIL9YAhogjab2UMHgebw4//9+J8gYZbOvbbZWJVt
7zJNLtrpmg3ODbuj+D4w0Uv0XvFaKN2vQ4ABKrZwcYd5ee+kpn6J8uHN1VO21KEzLpKIRLIfdJI8
Vmld6kTSHky11DQ7vyXVAvA/iXPyHpUdce2hrfV7qiKuLjHURdoMztKZ3HE/NO7TBDFwqQ3ebTXW
9XZwYmuDGdXdhHo9LCL7OCUmgJ0uM1dF6dkbId1pg3d0ZTSldyiLtIA5DwTB0yLjMOWOfggbGhaj
sKcKZ4whOeJ6WTYmMYJJxDRfzzQHBWzGr24i8v9HF7PJBifLsIjfO5xApylEjOCFufc8RfGiOc//
pB2wZ/Nkl6KsYAy11r1oxrWbhDheYdt7rescCeEpz4XLQHekSThzJa2CeqyIpula9gNINAipboO1
pTXzdCvdqn+BB9FN7qcdDtYWZq3cNA1DT2X4wP5Ti8KYyqYxjqO1iuOjlgmagjJwOqn+8Z/76P7T
2PNPk1N/osf818DF/I4w8/79Zzxe8/h//c8/jT5/+tRfn/PmlxlWxgwsdN80f+y1fnWY6fNYZHC7
xyYGvdn7Cb/IlCMcAY/MnSGMfxmAdGyyrk44FG+q8P4WfhGn7V+e81ALCWkBj/G4irBLmw2wPw1A
oh4JcSUwCwhTp0+slDULeH6x81qW+UHLe6BkjUCcaIsDfZ0ongidjs5ApnZhItwpD1NOreU7oleL
iSpHPA0fHSp6WIUrjx5oNjjrkGBBA8i115IDdlDKSeIJNkvHQ9teoTmDz7cffRWv80AdRl3cx8I/
G8p4ELHOTTiwHg1TbBsNYHsU4CwPX1sv2phJdtULbVt7OGKHOXqLTyzXoC9INk9vdWEfMcORZi1P
WOw2LIupfinXbdATNUhOmj/t8pgKXeLdV7fVvgPup1qus+aSDuLW1oL6mM8gUSSay3UYwcD3vHVS
+euySh8bn+KNQRy10eJHIsCdVGdAV6/k7W9SJZ+MZHxhg8G+AgWefo++UXed7HHyZaP3UJM3Huda
rnHot3lC7ZhPHYZMd87YIAuN/o3dmNOiDAZoJbUlXgI05w1lzf0acZH4bqs9Kq2C0KJhS0m8F4J0
07oLqAhJRnrnLS1zXpoQhprh3ZejdhcFYldZ7jELs2MUBedeVtlCOo9RMZ6rLNkO5KjMNttVtlzZ
5WAuLaPJV51n7k2rXWcccZWSh6mrTlGFMZkoUJD1lxTbHjeYdTW08dKu3EvU2mePgkgvzi6ylrtI
5JdOpyvND/Lvek0TljYtRCYp7ZnDW9GOgsW9WwQvpV0+RIyV8SjPPK0RmejBSFLITw0OCrTHiEWN
jK6N5WzdOiHFXiCOQ8ME1FeY3W0gSdp0WEQc4q7k1u67Tov2DXFlZ0TtwhhjYTJfRD2rv7o6e31M
aSdtHgvLrJ77MjmmLYPUxCusUYJH7FCgzWohRTF9d297bKFoFADhEi/5b0L4IlflFbl/BfE/x/ih
mGTm/aRv5KDeiZuVOJgV3UP9wI8ktbe26s9pNt7k803YcyP1psritSn9E/EgUgc2i2CjFWB+dWdv
Qte8TlV2qBk9l7njHB2bqHQ51DVKXfxYMEYizFvf0lKRrnfPpsaaucJZuMx0FLFwrHiYESnnUmt9
ZuO0q10CMpWBmUK6jbMk8vHC62vTpdY9FI9oUyONLKJRnbS6WmuhEa8IPa4cLStXUPMUhrRkuDDG
flUWPfW9Od3WcsCV1kERrxX2oKloLilbggIpZOnXRbIsffsNWtHeTcuHIDLWAzWy6LikfZo0xQ02
EnqivFRFN2Zrr0L+rBb9OpT7gnIiHxcsilbzln1tG8swnQtvIUweJ802cKlQoSzxaHsZfz8EjeQu
J3/3Agh25oqBJaoSmmBpcGBy6dYsYcvFVDafEN43/NRHAeF5hQMU7HdBbKXuw20QhZ/stV88uAi6
7mD9CledS+l9memnNnJPgyluRDBcULmWPt2mldneGrK92Lb2OZXeY2zOTiXH+Bp47WcDmy4EhQwK
Rh6HRnu3wP3QgMqyBcQ6AICbjqsh/nQD3R1+oYLhl9XttnRAEeZELIn5VxuXtoopY4nQTysr5e7i
D9qOICGwuKy5iqEjbGDY5HyGO73OyIRnE1U04bYbmxfO2yMX0WQ1KvxfKqLMyk/Pk+YeFRo5IRjz
vVHV4xCqG21s1iZY6y4fz65k36JoZwL9vK6KTF9OipdAPcm11Gzo/MaHFrd3TWDtWL/wqqEfxVAf
6ZyuMWxyd4JOPQcSrt9py6gpbowwudNsh0APu6t14hjPucnLqUB2gTQ2cUBWRNp411p1+oSVaS4d
b795joJz13KKIEQJGb1qmnkoBo+9Fl6voYiepBHXiygMxKJwkLzgDn0jE7QZ3OTEmv3Fclp/mwTa
u7T6Vzoargnb1CV7vNc6y8tNABaDC1VKYC6T18FTr+wWPsOJHKUSuTxbteQxxlWWE5mJK3Ctb3aS
HnESY+aISZD1/oSNEVKYRf14R61OZMrbavDvg87Z+U5y31HYYnDhxGWW8T6Kkhuj11+UXcu10cmD
2bsQhsOXys47VESgC6N9QwHLCgzbkZkcW4mKqL7qUeykXgxY+KhWNJ1tKDjTwvbOnkoSlYqlfnTX
43jWInnKInuT2bQgOOIwjiQICiJz27xu3420W8PxxnUb5E9YSljJzXaRsJ8uuTsewjY4hPn4TJIi
fnJy/2vbSMlD0WS2Q4sKczJtvAzoSaG7uiKx6hUH251YPs82WtysUwGs1ODx1he7yTPWXi5vPEKK
S8igrAzKwFqZg+SNO8i7UjhrvxA5FOIAhBxJYmVoL63oli5WgyEG5S6VRc+ON2Nd/P62VsaTR/eA
XvKckVKwup+e3UC+S9v9sAC95zUtwDU8htBpQDnAWpVHKx8ojfQise86J+D86o2p4u+AM7XRrHWf
WatecbL4vrptBKEXeARL6EXTXaYP+sEPiLUs6kGX3wbhqm0y1AyUoo+OMcmZteuO+lfJSEI1emD6
NwFtkTljzZiuvCFIvrntj6dL49z2eLXJK6o17bUrGczX/qrB9hO6L5Uhn1VrUJEm8fCEo7d2xyBc
hWX23pBR84rhiPGd0Tnvv8IQZOMe7FSY4SENqQMPdn41kpJtOnMTeKyAI03Eq8nqEETMS9Tk91JH
gKFBcufGoXFPbzi+I91kbUVU7txIdTKSDGNgoRbuQG9pKpNVih3ApPSStavOVa7fIJjcCk3US126
4Z2rtXBwYriTDDR+uuSupu9hi8zIuQA6Q9yzcNHGcFgCF6vXgpUlQmsc3vOKdpjSZ/+Py9xSs68j
6tuDT8vD7JX2UfY6vIcKm4Vqv9MI4q8zuyZt+PcHmv/HNjS/xPD+XU/eTVh9/7cJGPGHI8/54qCB
z3AEW0eM5AO/jif2F9syfVYmNq03Fma4P7YzjCc08prwl6m1QpXhQ3/IkA6yJn00JGSw0pFo+Q3s
ef2F+s6Qx2gIEvTXf/5vUJKuOC2a+n/8dwIbfxlPrDkaaJCpYWdHmG8uyvx5PKmqOJy8EVKQUs3e
ZH295cq+bVoMtOacQRBzGoH66nQdzgmFxuChOmKgXfLNiDU2HH/PynsjSDXkmTJPQdNgcVPxczJn
v+cIBDqHuALhssClmCcLj3a/zLPUBDob9/f5qM0FKFsRsw+hxBxwzA7IwyasrG3Rq/LUAI8HzpLg
sI5eLfhBIGXLB9OlZm6yaUknDId/rKIlrJRb3lmPxtyoLududUaCVUjZunLBMzFP1fAnk20T9t4G
EDwVGnNLu6/T3NFmMd4WrbhlBGIqoM89ptcdyexBC8tx3RrygdK6VcpK3y3FyZwr4Zsg34z5OG+2
SdZNxRYeFflaPX8CW/19KBOy6/TLDxYtmrZyripzTu5cQu9klrFtICvMD/dd4jsvqU5lvR+NX22I
WHrh0kFLq31Iu30519wbHYX3iSkuWtS/4bt9MSkqzyPce6RNUAAb2z9K1V5LN1/68WBAHcP9G1sR
tLY+ArUTmfMjz1c9LRIROaeJHdzBwxy9oKdk2+nepk34WGLC8bL6pj3qGY8dqRIERK6X3mjc9DGN
nUZDcDpO8HoJywlWfLcxvrB6WNupSyKIiwej5yjL1F3obQ5GbeYUmW66EpUFRZQCwNXATZlX1sTx
2OEvnkgqteqU8fMuDJNvDQRRiDGh8baGaPZVo92m9M75GWTTaMpvYaCu8jY8caCpdQF6Sg7Nna65
7lcdSS2Ma3ctPX4IP/A4Sf83e+e1YzuSZudXEXQtNhj0BEa62N6k93luiLT0LmiDr6FX0oPpi6Oa
7jo93T1dAgTMALoqVBWOyb3JiN+s9S258VIhTmPgvxnINewSkYrWbyRayTGFNC0FRiUUqcexkXDN
6DwWrf9oEYLERgNaY3kB41DbM4EE3ZOKyG1EPtLWfJtaT2IJOBNmQSnHx+U05qc1WbD5QRkzyEB0
Ze1LZUvCL4unDEAf9/eVtKoHfCYvs5azDAg5kLdIZC621ruIn8oXrYFBzDqDoEMXEyGQiWdq1hbJ
TJ2h6A7n7sETqA07t4FmjL6mR2cTdF6Ez4PsGS3BcdHiUMbeIjTZKHjqzBWg/sw2CX/qIkfF08TD
DXZQbBP5d4/KZzCoNmot/ElqzGQCLZBbIOjzUAdNDj6QlhGdUmgJLMe5h0L+maIoWtwCXGtP7EnP
XrNlht/Ccc000NUDISUgvFr5uFsgvtYpg2MbBqwNCzaECTsUpAC1GhNryOJMnCWCE++uKYBzlaCm
jaW+IgeOUOyM9nghCJyZQYnWJ6OGXMmFYLdouSOC+zHy1a0Xja8JqZkE3maviBkffdC2EbjDjJjd
dTNiqM1ZABrSekrB4boeuBfjJyEXVO5Ecexpdm6lKbrZZOBcgokYiumFA3FgKAxzN9H03cYW53aJ
abcB8xYq/cg1qLdGCEwlJzeDpvgqQrAPfL1inTCHjjXrFx7FxvGZ9PYqKFAdYq312gxEBbuVyHZf
6VpJFc+pU8EID5BYIhHd95ovLEEvOkZ87uAtEXXG1lkjmFINY5pNInmhM5lT9Z3VRBxNJOicnQih
Jd3SgLcQa4hjlJDXO5fGNHIu46mcd+TZQusQGMLyuWBMG5bbGUVa3nnprh0Sqo0u/Ejc+OhErMRF
ZnzOGP52i2sTZGZ4Fk1Qmr5QKSdgRlF0+l7U723cC6o3v42e6bwVXgwm0pe48av9XM68Bv7sH91l
ui867VSsRwLO3Lm8rQsjPsqcLtx3sOLx/fJ4l/gjrN66CitZX9Mg4THEv8YLmyWY8pzMO8SVDU2E
GMxqHoPNglCmP5cTMhzEMdF1xuCdu6UnZsN6DEv7gjPxSri42QrvsCwC6ldJFOe0OIBi/XbL1/cg
m+6DM2in8cNz3B/GRJwlBAWX8Nk9JCLm2U6MuGp6HWDibRdEFWvTSu6r3Kw2S8qrUcmHsRGPTQyF
1xzuDW/Zj216G6joZiYI3lPhXdQAB1UFoFfs1GKAH+YbLx4Jcqsx7I4i0aMmh4SzsYO64sXDLZEl
UB8bnS3OWW6rgQSuQV2l+EKDrPwcpvGVUFm2FmZpQ2yXjzVkUq4ga3yucu/FjOK3Iglob7ME/Irj
/LBNTEGCR2Q1Tn634lK+mWakf7UImbOTIxJ3xZ3WjofRcFN5Fa9EGrw3Ut4vQ1ZyBFXbsh8RY8Qp
M0d50cPjxaDIgsFenpq2fyXP8bknYSQYuxfXx51J2sIFZqtLuyiyY1PL4AoecJxtbWmGl/lPf9/M
gfkQhPn4MGv7X6mNgIG2BEptDuQH6E++Ngw2OAfZ9D6TCWtuzExseN9/TDMCYP1xEtcWRgkBeO5T
jxdxIrOXuw7gTIzMJD73JkS9YeaJn/Ezhvgae6hmC6TDFXyEa8szzpG2QPZ4IRWeyDFTd5M2SZa4
JWs1vQcpE1BDGyn5xRyHCKyTIEGPgv0IhsZSrhoXq2MeEYSaci4r7dB0erphLJuD6vrN/6+2MX2E
Ab6Uv7/439TvX8XfqLf1r/qzGAoJlOdqz4rlmLpA/teC28JWjqYJKRSedDJJ0CL9qxyKyBOBEx3g
hYlFBRr17wtufOGeSy1uOf9HK/VXBfY/Krh/Zj794jhHCWD5TkhLqTVbnm4Ufl9wRx52QYdnjzvG
qi5nZsNsMtMMDKE1mW9VmQ/rSFrXbgzVAUnrvBExbM/MYHZsejVARK+ar4KgtoxNMxabYpxP/MiX
hEIeumLZl2P+NnXZF/vS11AGq9KOTrlsTBv5autep0H6KRz/Zg7tH46feiQ1juY+QXRNtgOYYvWa
RPl9ZxnLBmHhsjIt/dos5gWLyucsAjDc2joSria4PM8rwpNb65An1W6JCb1lR2uS/tgac3zpeOoD
zjCNLpqstZHzKvW2NlSOPqnCMfz1GjMJ+lI4UZLpWyO6TUWJHoXJPRfyW5dYt7UYkC/TEKOCJwrO
CHp7EwwoTYfF1zl88I7E59BKfjj8gSs42G8kUfygobmIyoLRil8piFAWiwEqCntqk61bVnu/qvFN
Zjt/xCQdDvZdo7KYD3ZksYhhUmBJPeAxJCVjrG6mqkDfhOlSTYRvkB/J4P4HGYrgogpQ/3lU7dQs
vZtMsCoPXSEOTcu0alpgLPthRihM3HoroO2cZ8byhOU3PlfBF3+XZE1GtUFFjPHaWsjZ7XH65MK8
cclszp3hk8/G2Q95/QkmE8dhXhxVpJCZsTmZfIL8jOCBw+V+CUuwJQxGdxOqKiTZ5Usb1DdidsOn
xBxe+yo4SZbit13oPI10d9gFpyt86PGmFdlnWaknVwpj21rttZWNAMjQ7G1kyCy1E8Nbi7B/Ws1N
gZc1CLUP5VgNDoEtdkjZ40lxORvCu7cA7V+4MsMxbNqIPvjlKNxhSln0lAySqXzL57boYPVXdred
uwETNIOL3dwyny56JMayIIA3ye0PN8SpOKKApg0kBDju4wpvLFxSJfjMm9HCHz2jJvc7g+Cf0cZW
zahyyWvnIPFzYORqCa6MMYwHfnyey9hdUTx5B9nWwBrGGq9Jccb5K6kjLbUVCCJ/0BDWe+ar0cFP
RiBXGeGCJZ561yK2puF2WpnZXIBNxWtt6251FG4AQaY9B17vXY+dcRxMpqGV46wCx8fwXjSbRgJD
mSfp7GMyFh7aMo7PQZxU+8ElaUyo6LpANs68loFQlQH1LNGtSWH2ZE9PlwmQdqcaD2gS9thpuXJD
9kLMzUuU8t2cbBxcw7u+Cd8cL936fjl9kXigARMAxGLsOZediSszqQ3yasbkbIu23aRkDa3yEaGj
nx3Nyd9Ejfjg1GBMaQTUkLyidgIRULkKBvx4kIHa525zDA313FWqRwrMnt5Nvsm8f7RL/w5r3B6/
G7ybNrlYCsTWQzgSxpCPVEg9WClXHXP2n21sv/UV9pgKBci8NIektOGIlSi0A3k32+K2VRM7KLQD
wm73FjDGYhjWc1Le+2P2isOX9QE0urS8RORzXhq1Q5n8IV2iYVrsd0k2X3eW9R6Ewx4IIKmaI6G3
gQGRqz34yrmq3LRCLx1fd37zGQN8j4cCcnO1bYxG4okZb+uQjZ9hcxJNfX1M8vnb9+IdV/2luQzn
noA70df3VlHtDbNLdikdLYuF2IOQ32KqamCYKX86BylrroQhvknaU0n3t0EKOcHaB1YzJtK6GHwJ
A2G8Mb3hNvLh+Q7soqS6qfxkGzHadk3/pkahrgxcPxHPoYuCAZrDLs36W9Q8ew6Xe1MCp4+NvVWF
3zDoJ+KJ7GMbskDM85z/E5rHOgPG1fS7tpTvcTd/yDI/om370WKLQyvTUwBbyLdLXtBwOk5FCszN
Cr/qeOFxQjCxIfj4e0GRv5/sco9eyDwy3w/2EEp2ScA9APPkVjWQ6TgCKdALx91LVkBr7jjCNaP3
IU5voml4YKZ83TUL/I8kMLdTagWEpAzPquIISRP5wwPRXI40BCqcs13nqP4SX/hskrk5+3D4p+rR
9eJkazHVxcbW2XcTWKtbVzukRSu64x+vrf6uouIX3cXfnnf+RxZduFQ9f7++ui7e0uqfSJ/Tv8tv
9ZbzJ8v1LEQWvuXaGPD+XG7ZfyJZDlaP1p+7LrinX8qtwGQWii6cYG9fIAT5y3zTgwYU0KRgO/6j
8gtejH8z3/SwPaPoFIgwwPz8lfwiQSHh2iNmzAlRY6OBFpGpy44if5UpGIjgXNm4HaZ+3y/Lwcmh
tKAWtuFh1DaWk9GLPnDn7eo8uoXsd2hYdoy5e+XSm7egWCgS4qY8jT/Xmp/jzaxpG4TQLKRgOTsX
KGHWkbZrchNxDcqYOZF0q2PTBez1newCM9qzIcQDy4T7CHA6F5NYuTEnbIg8wZytRySCwNAS9dj1
9sHxqaISKAYGFtBEbSxJ4eLMtJS1yE7Ek7BUgeWsPozAvBXduO3i8eDxsrPR2AfZcmuPzXs1/zBn
FJPDANQESiZcEgRsFBclkAqWUXBohryHYmTbDqMLlF4A1ZLDJK7jCWaJ79/Y5vySxQGNLJuIbZxR
bo3JfRm1ryGYJMko0eswxqXBocyd14rFryOxw6pwbxnkWtf8nTIELR7bJ1lDPpkuGju6dtvhaXTa
pzJx7mThraX35UIW8L1g7/pUuh7LUzeqV2bdbLqs3XZLs/ZqknRCtFoZJcJsJm+QQh/zCRRGs7dT
cmW8hnzvKb7PjWhXkzOxwA5mWE05VTPMbe3logkELsvGf5UWf2azbGZZoeqssiNUiK3J7DNqw1ev
7/cznHd/sK5Y/F3hi906RkqgX7XJGn7Y5EfnnuywvPG561IrflDzZxdNW8s5W4z2mvBkV9Hay5KT
zxin8fJ9nuZENpWUDUQxQLgAl2uuk1ydeoHdeO7FsSqwnXmodFc+ZtoVu71jZYL07epVU4XJk3Cb
23oIL6K0+iAuROyXjmZ+WfqTlX0PtTjjEdizULptQufZrYZ7ouYKhLndoS3D/rJL3HGDE+zchstd
S6jhiE6VeTSGAQ9Jsjevx5EAORWcMuV/tz1UNuIRe3HCJ6WteisWvSQLpc7LTJwiMk5WXAyeyz6+
zxhMY1DT8kuwk6tU5zGaBKus/QARsYthQ2c2joQ3kmV1BUWPOEf4Rtm6J+LRsPYDdjgWtnsopUQk
ToOD4E/nQuY6IVKSbLOzdWpkN1hPEzGSUQfJlJi+Zg1dM3uNzMVdFW1GyzCKLSrrfVunxPI5j+TB
HxveyqhlzeC0Z0wduwFMh2tk64w7fjDF5QhuJbJmyLWMi8APQFoGnwqPg8XMte2TG5JUIfpIZuL9
RUlJnFTzWrYx+qmCIReFjZju2GNc2IbYeCwj+BjWNrvijESKOO7XQvobk3kD+RBzqCcqGfvbZb9U
SttW8cI2fCy9PFuNvbOH/CqZrL3qPuU8kxPonkpj3LctxvUwhYwTALglwdvB7qs6B9uHcQGIdeNQ
eDKHfayHV7tYQAIyFLdeFqIQ5xmxJBpi1hz0Kpb35EClYhlF6bxvumRbipFExWiLMYLTbh9anwmB
NrP/jpUH0122iot39uCk5730wbTueCKRPK8B5ZxwmQHJf3RmhTE33REvAzyHhssorssgXjcMsZY8
WhsJBzClE3Y9sknKdTYg0BiBUo8KFfEcbAbYASObaoKUyHChAtNKLprpnJW99dS38BzIadQVZhUl
sLDE45ACEmz5ravqrJ0YCIsZ47vudTO7hwXjsj+Yq9FVVx40nBpNNuLv9czQiN+lvrIYubI+PVdW
fjfX5lVZYZvsxk0SGAcPCaqDWf0RoR/ntDu/IhbY9Cg6uvQ4KdA/YBmv7DG9oMI/RbLHQdwZ2dbp
IeFUzIwUG3tj7hA61VtZ8Pou7mmaI4d2RyEAUHutUW0aogdtoESLOUK8nlAt+3sGkeQfNHs2MrsC
gpHeHSuIRk3FFoxGXunYjsm+7PF/tvOCGEIgVv1IUKuY2TO26R0z0i29/bYuu0se9+cUcNJUkIra
cgepS7yYOye8mAv5LJj1LQSvwBtABEUEimUj/uBTrsvqKGAyJfWD69L+Wdlhwe3cLgZVXXaVOLR+
zCVH5Z1KEew6wE6JlZ2yYp+iBJCWsV10ovzcbnjP7goXkDAs2qaNdqq9tdm2OQ0a4dxljnizpOaR
T5DAtfQF4DVKYLgeI1ZFOa/y5DrJDLQP5cYGNTUY04K1E4tswIBe4zYMwanIcaoq+3IJv2GmHcAX
bZIRE6v0SJVmpiqRaqkeq1m/g6c/rf542fi3C8Jfasbn/0TRjn8W3Pr/UKt7+irit/Htv/y7qcX6
t/lz3SjYBAg8OKjs0NsywfttMW7/yUaAC0fL1mzGvy4cyUIIEegyRmNa+MtiHDMlo78QpCNBFcSw
/4E5nev/jcIR55Bew9NJuHgrf53TFUT2jpNrcbipNnkEF8J8y0gD0vGW7oA/p0ThxRjCZuGcmHJV
ebCTek1RijPrW6IEXKycPBDDy1CodNRNmr5kJzkgpgAkk21QuTVNRmcejodMc5s8DXDSJKe06Akk
Be6EzzhfCdgL9pROK0cToLKyZBXPwC2h9ZnTBrxVz0oewQ56yyWKt0YXZsdE4Q4wi4uO0LQ8YJ8S
WW17bqv3wZ9uJSQqt5FnqRrQVBpSZZgaWGFhN9aifBOS1VSE6xyyFZFgp8JJ+mOooVezSzZPUi9H
SFvoJTUaq2oo7lroFBHULHfJDWLY+5cKnpar4o9CA7akWX4xykfuC3urkZSxETSunmq0mMFzBY54
6EZ4ajXkrtJzk6tCw7zGnLJu0XyvhdthVqzQJDZHCwZYCgtMCdbKmPWhVzr9bmG9jMnqzdUAsdLI
TwKimGIT3iTtXahRY6aGji09LAGNIWvgkSVuiAB7uZeQLFtgZY2mli2aX6YDB3qAZobdbOPGvpgA
nRXg8VFTOesQBJoXceL75alDLheVzdrPfCJxn2SXMvfX+j/NUlPRskF+YyekCM+oj9EVU/WEq8XH
G4NQjXt4a2czYIPmJtKwNgtqW+xUC/dU8do2yXsE161liSfj6cmuFo2dZ21pQ5ezNBsOKMhjDSyu
09Q47+fz5CAVLQxKUoJM7a3IqttJ8+ZqCZ9jEkNz6FnEoVnu92QK7gsufRtmnUg4WzXEbi7dYwbV
rkE5vIJTgXEdYBCo9vDSgYEX4YBdfkLxQOkjD8zerGraTYN1ayVMAIEE88ucn0K4Jj11XG+zvuf8
wj/l5fCipWtyctmp8Rkjp8y3VW1Df5xZdSfAACl5/VudEBpvijZ9SLiAZcB3X3MrI5Y+OyLnyhEo
DBpm3aZ4VZTZAMU7eiqyhX2zOEfFcmQz9ChHLhAnQf+pi4Y0LNnaTOmH7XTXrEAhRrkkqS7LyXDZ
evuddg415dcM9I2cphEBsbyLQ4vCX14QXLifA6iBlEUiF1svmVmEUTalJEEvlFE4fdOtnZqkKLC6
zqboRLDWhWJULU2moQu4wVVHqaaVAAMGV9S3/kGUYu9Q2g0ZNyulXjwpvEDwKkyKwGbML8xgfqkr
6Kbsp4vEOoyu/xpYw7gaKDIHR95WFJ4UVdetLkZV6L2mY0qJKgD9ifgh4ykcehtb8XC2mGmiJt4N
XYfvVh7Mzu/3i7K2zUwaq6dcXWnVyZkKDIKSSjAGEn3slPFnprOQbWbIm4B45KqBneRURM3lV6Bv
rbWczXBrlviLPB20XLZeUm+TGAUwdaCRqvhuIqQ57axkb45JSFAXlYnldAfGPs8+KonJroh+brgb
mESLx0osLD5LVV4Jmzk6msYq3/WWFR1BYuHz41NHUsrsOQnto0xCFn5kyaU61pFssO5tpKtk7NuQ
EVqgVfbc+lpAlt1GwfhEzshnbgUG5zDD74EpeF77TySP27eUNaeYObk5MzD36OBQNrywSQWPa8zT
rjWTfhUyZ4+Yt4/M3V09gJ+ZxBd2Rswuo/moLz69NnH2BVN7nUKBlPMG5hNhSXqwD1Nlj4s7QhNJ
/N7SfRHnQyYh2wBTrwXcsgS1o1cFJM0sPmatND6mep2gmti7sfWKoQniheZ0fM4K+aNy2pjx3bTH
+kdManbjTsUNLutsberVha2XGFEyXAob40eUjXfoxFHLsN9no3sfRsXe9/IEf1NJjsZi3hkeaxIm
3+3eZHPSp8kPWTRvU5bp1Q+r9lh8BnrZMjiEWer1S6QXMdZsMVbXy5laAk/r2deQ9PoWsr/x0UIw
lduEY+ejKqpxYNKepHrpIxOQyp1eBEV6JaT0cogpsrmqcYY3enEk2CDh7N3isF6b0A8jvWJq9LLJ
Wcxzo9dPI3qiFYkxhMjq1RSAEP4O2AdYE3c712e+I3pe7Hzs8n1XAGfnivzBOVsfimi4LF0LfVLc
N5+9q102aUN2GGhe6x5quHmaSh2bpbmabhRty44rWJXoR4LZsXYWiN5zWtgEiZHsF6iBixiDwY27
PCmKTBd+dNqXMyjl3A9Y1nsBLWgVHmObyJ4l1RAqdpfHeQJiMDrS3oyRRxpr4CErrjVO5aX3U4MO
Rbb7/yYcKRtLVIJoPxT3gydfK6QmMuXnNm9E5h5sL9owYTuOijs5RKie6zegcdcx6Cdg1NnJLLrj
FBrowhW0x3Ep1kiCoJj6DQ7OdCtNaW8Xxc1XRfHDuGR44D0hL8To40Uw3+sWOfmsRgFXH6a1FHet
+dNNU/8oPf4eoYROEEX9QRTpV1xmJMr2MUExPlgG5QIg9YCFsYh5zQ3vi1gzzkOzeM8Lk4WfJfH6
iTDnJqYgiuf4dpI0lMsQWltn9NXN5JO+WZCAB7T/aRySu7FcXlmwP3QqIoHSTOl8LPz6xN/6WPow
Jw+ABPr6xQ7dbZ0Yh3qADO2SAtcaX4y7UcJ501E27rZIiEcZG6S4uIuqkYFVMPsfUym3xAt+d0u7
4ZVA9JtxhVSDdzTK9q3xxSHIyNaMzV25OMcs7IuH381a/4YcM/wrNaaNAlM4boCKwRK+RYn7a9Hp
R0PdETAiNi5Era1U/rEbJ0Qp5UXNn5653RtoxyMYQfKPEA+uTALD8d9+Y7/dkgOdriiQv+ucQZT+
4UgY5uR0tws/daN//LIQ/caP/W3uty/ez09Lf26m/gRd7raQjzSPCpeXxn/AP4DZKrvLDEZyfAmT
lxgrsl9YUyzkDs76u4rn6Cb9+e2JKX+apDJXVjY1uMiyd8TnFcWI90X59Jro56AbzHrjB4u5B8B/
43TgMCweG4PHx51oNTmh8lU82C+RYSfrcE5vqIRfzNEjMV2QE9uCRKRieCe54iNSNeLEaP7udDBS
ErN4KOUxy7MH+Mv9qtXPtUH2YbVw9uonvtHPfqHfgpHXIc7VVy9L5o79HhE3YwleHCKu7haCrboS
V5Z+s3jDCjxvrRbgfFfO9BgLdPAuK+P/N9Lpf24n8Z+yvwz+YdDA6X/9z/ztvUmL7t9vMfXv9FuL
6f2JbDhBA4f4GqqVVlj/1mK6f+K/EVsXwmAwAaLRlv5FCuIhmECPTYmsIwZ+aTFNFvj0n6ZrEl4X
+n+oxdSikl+kII4DJhzeBP5VOk1WIb++7UgwMS5bIcFC/ngaxvzdyPAEIolst301UN5MCAH82QE2
qPISIGH3Af1PO4Dqx8IdqVfn+w55QltE8X4YR3NFN3dwy/REoDCiJDORdBvVxSisD2WIXboASmwL
XmPGmvsyns6AbVi8qRR73dhnNJ4W1rFGoY7zoodqjK8KknzBOnWPo8joQKVzAbeH4ZPrnmTr3IxR
cFBLNl12JA21fXQ1p9F3HPYXwkD6NuffjgAl2CXkAoXduC+taTfH/kfYYM2GxZ8mbrSNxxC6Q2xc
Wj3ALTExs4fhiKARjQDB5yKIWYnPcX4yGXSulV8/9dW8T0zxBEbti7ThWzPhjXdqcRMYmOibTqFR
bEqFl4iSW/ZoRpuQjQwFe3C1xIlak3h5iNr+I48dUHHCpnWxmhUkcXaTiJS3AxfefLQmzhCwzsba
1o4ZoAZXVskHVOFmAp0OwzKCSkM4/K0ZcGWDA7IgKriLc+l0gBvDiD7MacUhrEkIYDoVUtxP4RY7
+gaCw4fRKowwvtqGY3yTo0Wg69qntYv418fo4QGPaUBc7lzM7jIILvI5OcxKpDt/wfA1BwjDJzm3
6yAkWMJKp6OTKeDQEXWQqcpTPavTaMftyp4cexd2Zbgv5oBvm9EoRSGzu1WummJfdy4S/sFqD3Nh
ynWgh7RROPnvURgxwADfuGwbiyjVILbczWjp/qty30z8WyvHRpzJ453s5sIJVoPy00NRBdFKFvMl
dko0tK5T7es6sd57Medg1ELjBgpH+hiUibHOc3CJ/Ck+YmJxK8YIM5yv8fVOSGeONklBImfrDr3g
OObTB6zMK6wACGBxB5CRfaPiVKxGGoijkMNL2aX5uSEnAQJ7UDFmHoyDW3HiD571oNB9EMonnnKi
XCm3p0s4w+l6aKvLPqofcHgdsiE9jKlzkUuDNyKwZxBJDZCitipfB7Q5zdLsXcr9tOU2UoQNrUK/
fHQz75zm5leYEK+Q1Z9G6p8zCzfYkr8meXPvltTR3ei2V20v76eyuexhTw0RagW+Z7o+960rnaOK
/cd5IHLZ4YZhPfQjYkJJ5amij9YDV9RWk4GZyx3fDaMjKcimlvbrL0LRkW8yQmmRHetWaqmo6SeE
sui58DkuxhXqgeBFn3QrBTvRH22Avm726BhJt88jJKldgnAWZWTjf/ptuUXKwv5Lof5KouFjLsZi
2gSp4+gxwndpLMNnnXFSbaKBRQRSILnJW4HCNoPz7sxXXcpjv7AcjGE4U35ImkV5P7fN85h7W/0U
d3ZKPrwTA4BGziq3UZZdS2fdz1BeVZaie0uNG0eT5WrNmMuJ0ztnmjuXOcMxSgX0ExIB14Wm02Wa
U9csqMjB6QFBj1y5F5pnJ1MHFKdm3JXQDIkWhntXaAJex5Zi1ZYgMIFFGLdR23r72Jq/ZBShETNZ
YFpqCa/hY046iKndmD+Je6D30HaQE0oLl2sqn2rbXRP3GGBh9hVhnFNH9eYrXT2l9dhhdJ7Hcwzr
r3XLxxz2n0vmpn6tKXSIyFsPg3x06UVdawbAX96myMFryCz9uPJij7RR5b6otiDbSLJuk/OUnWtk
0FuUrc1KFXxfdRF4tB8o2XIntrbD5IS7IIapWxaQS8k+vLQXv7mMOivYOG5RnriGPnq08FsjcMiJ
s5vAJiULJk5pKwYUVRrxYXOISL86qQxplh/lx5GCfFsNbAps+izL9wH6MraXcX7bN8VtBeRz0+M1
Ju6gcDRE+exWDM6iBH92C2VFv32MzWR+EzfDZZHMtOcmVmoG8ru0wTOcJsVX21R7lL7cV9V4n2Ri
V1XiTEAoCQgxyhlnfgyD+KWx1K4KlnvN7sxw5BMB3YOd7BbyzfPHoVoIa6xLez1b3rXMUCKlPrmg
qujeYHTXGOqWcA/asVmHKnvvTRFtkAGtc0Kc8Wps3bj4NuQI5gvUYZa9p44bbyyRBpuQB549P8om
trNy6k7IfF84QeGDtppumz0VoHU7eq3NXPcf+Kk2YUw4lpu8VgrP5NCzwBACOFkY89iNCvhjHNwU
Hpr3plc2hAE5HiJBVHQuBSLQML5mWU3ovEkMIBMaHkx6Y1ZHw7KylZNApnN7vibvabat14AXKRfe
DRJ+hIATis2unyfaX/vSwJS7GQKHEVnL2qdYNqoiOFYZ1XtfBFyzU3JixMlLFiostXaV39YMq0Xg
T7tMgd2rx2nbyfApkNgHM5VWO+GXFxX45yFuHy0JXhpON6edPTH7rhsfQXTHKssgKSn0b30UliCZ
SUZMLow8Zdc6PEs7iV692Wk2uTNjH8F0QdGTx7DogKxNkXdf5nFAGMh0Ab3h0RmKj1HSYschZUTF
/HpB1KZ02ETuWBuPY2g1YlNecR3r1MZ8jUA8xvmUDofc61I9kHZuECGo81xohVa0ABWyJr20Ja6b
fjDIjnRUp7nLOV7K/EdTVtZd1/XySuGy3c150W2nZOwO5khbDiR+fJvHSaPkSsM/qbEtCQn3it1U
uf2RHSIQi6ZhUc59xoRxDp483LEn7m6JPKO2yRmG5lDW4w64+MkP8Yyimjtg8aDRH0x3jWUCFGvC
tj/LQ3ObmH1ar+ZcTaduMf8vkhT+iZ3V/qu+eiu/un/5Rdr0P3791/8YeBmY/NxlPmX735c53civ
tEjpE+AV9Or4+d//619+1W+9gw8+znHhDXgYLdEpUbz/1jsQQYagCXCmb2tZEYum3/UOrmcGRJNh
tPy5n/q9rsnkpRQB7cZvbcUfWE8xE/g3vQPqmxCKtgW+JoRm9WvvoB3RpiTCdsNE9tvgD+YgyQm6
McRtpJo7hVGOhnk8Wxy3+EZ+pDMC6UZCmYiH/ZxWzxlQX1zlXkHHTgiN7c9URWk6UKlD1QdfmN73
w/yAYuoY93BTXOsghuw5ZVFR1eWT8NSX4/afSR6e/LRgyhtc+3YFhhdwZ0qdaZBOs/Ib+97tiwsm
bD88c/zOEbWoroWnNgzPzOkiuoe8XFt+y6VQZ59d3tjrKTK/CzdZi7wKVrE0roQAtWHPwibZFBli
5Vw5jcX8LDOdddYUZAg3BD9j8EO8yjJqfHWCbldPU879Em6jfrgSYX+dhTaUd8SSuVfC2gwRLFYD
dsyxH4C5eYxYwvxHyTyArNS3bnGeWx+mWjORsLvYR+Af8NQDdciD7Dn3iMixyvjOHq2bKu/fKgst
h/ABIbT+pRFnZ7qGLf/xjmzcjQKAEdfBfhEWb/UIrVrMl25LBWO21slpCCN2jKbd9VOrMTiMaEJL
ac30PB8XxuTbLon5NOBrhgmL+sD9xKN+bU+yBxGQtBs5pbd+Lx/wqcO56Nt52/mBtZ0M8DSNRQSu
iiyDsXNSX49De2PM4qVX4ObAISN/cXFdLeMG/JV9bwTBV2AY37NCADpZxnfPPFbGFSO+LKrv8p6N
2lR0J4K8u3WVoZsqovw6RA+zqmzzVA+OAkw3cbixBDBs6wc5SacA9dNIYW6E+ftgivrSrbpo3afW
UY3BVvDPwQweYuquOBnumHdma7cYDiFfEx0FJvx2RomvGuNmKIc3idJrkw/qi/wueQTVzuS58OVD
k6EMHZf/zd6ZLTmOXVn2i5B2MQOvJMHZSSedPr7AfMQ8Xswf1l/QH9YLqqjOTJUkq3yr6i4zySzT
QuERcifBc/bZe21E11Bn00WAWomEmvigUhaxwxN6cu1k2dSYhnWCovlAAEip3qfBtJYoevoZEveZ
f1CXYxjS4msqkvMsBgvFwVYyhgVHHKpzEOe1H12HaNZ1dr/saaEjA5ANW02Md3rHmtTb+J064bc3
o/F/OnYdCjFiZZ/E8bgk9nxsOfouS9X8yKdQPU6xLx9CM1U/tBp4CwSkkaaMeZbP56EeFz4ad/2d
zvM+q+kdg+/H6LhhypIWT/sgn5x9VlWP6PCXvMLEUcb9XhmNFxFlcpFlUIginFZRMp9SEpNMrnEn
ObcyUJTfTRF9JIN5M5sG+631kPrlOdXHT5gOTLrJcI35DO7b+tx13UMdZ0feBfUiZFYPeye8w81O
wCuw1LVQcqzxVr2dmm4lbC6iFo+MZHgZlXbb95RTNHRu4MUMMEDJn2Dsk0euY3Clff2qaRStDLDy
+DZEhOgoH+nK+eTDWRD6Zd/RqjroeDCjhvcWzzjVOClM4Q6mkdEM5TI1McHolrKSWE4XIfVtWH8w
0uutq+/DqttPeOFIotVoeMW0REf8jkzqoiS9Rj6BR73OrkM3PomIrLbMScUqHYnT2NFvciJ7Ymez
T0kSVOlqapTgc5q4z3Zkh1sA7qRRappnJioWzhOHKSPBIkMNTbBopiT1WmkWR6sLMw/0vgBjTPhu
AjpysJvsjqGpX1mV/xZZ8SXlS01CfAhbPpcVJTi9AvvT1A6D4rxz1t/WqfpmtP2HmgcE7Mhgwuwb
+2ptCER4LotHgo8DAyBUkpa+GJOcLLNKsmD/gQwelZCLcNbfrAl/Pg3yQM8hFnanLgzq+yDLYQ3r
1APahbPUqxTYWGRTh10FzV1Jq4Tb4twiDG+TKa3F1sEVviwLsescf8krOr6YRYglMCF3F+L9sgeE
5RD7RGui7jah16sDdxlHHd6aAuZLqJTYyLXsGBW9s8rQKFZ5VndHdiRzVea8ZIhO9KvIUPyd5lCN
gP7/lTTJVxIMYDSLZDlGHHE55MbkqxOvNEIuifFwicjHeKUJj5LTBUysglh11Qe32o0oEVbhNBnt
HALhmdWw3C/SgJdEhEliSdgcDH4+xAs76AGiaJX0Jr1yuAUkPO7S+C2Y1G8zwYnVufaHDr5kVU8W
187Ch27SZeKgUvqNKJ5e5Kg7HnUPUNotYu6Ksyl0uaNw8UCp59rxYcLXA1dJtY69YCBRITT7Mwqc
Hrunv7FEw0Oudm59BsJJdG+mg7xC2+YBif0YqiWFC6GzYSF7clO0e6PtznZAG4oe56u/7mn6z8nO
/3iK/NO8+F9qQMQJ/s8HxEP9Lgl5/gk++GtE5Pf9GhGd3wRmJERkHW+5Tpn2H0ZEV3N0ZkRY+yax
de44v8vLGhOlK4Ch6rblmny5f7e+m7/RQWuALMRuJNCk/yLa4x+MiCA9GDex0nNScudf/wN5MFaz
isGJKFfX99m9yhkd1XsxQgZTofFkSG+t0MdpFZqMjkvfMGFPYJx9CeOoWiv0UI2HQBfAsrSBMxQF
PVPoycK+VTq9DRmACVsFp8BqPz/rYpOqI+IlNDU/UqdgEAYpycyb+INN7ajYxbG3p6Mjx3Xl49yD
bXrK/XYD0mvt1t2mLMxt39hvaaY9yKBe+3hTI4HbKjcumRjXfD+Xjhlxyi/WZmM+95XzqUQTxM7x
qGWEcuNE0ElPGfeInkI6yrkKEy6q4ou9qHibU42+VIBfAdCpKWsaA2NbxWQoJ2Z8PsGnva9qTy0K
rFUW2aooko3qYyHlyH1OLHGhw7UGqZTC8Rs9VHrMyeFOi5zXts42do03KO2OeUn7Er2Vr0Ndb0PN
eUOX/zDDCbep0r72OCo2zAX5/Gy8j+uQpHma6asgLj+jKnjuO/eD9p1hkReIwSOOXHAmOh7voAO0
yzjfRVqzcVJ+Vo0IsjP9qcAj24Q6ID7xYK2UNIgFlFzF1E5cEpcHHODjZifSmFmnactdWHbtKs1C
mwm0zC917cxtj8PN6t29qzcfbqauizBHKGmpEaYTHfNGF304nXFXJET6jPmeao7l3cQWb+aFBy/s
JUQ+AdPUNbjf3HZBZSvkOV31+ppGcSOIdkAu6dZq/ZHLvP/dlZXgIGl7jIRfatbMUkunLbO8OCph
yeSoOagkfpWsCz4EZjjmtFRL5VHRMJaq5Ldha5Wc5cOoB5qZGAvDKnZDF3DFVBTChgJzm+bEhBDy
bcD4iqmo+UBmg+Sr5ZQ0KzwpJeuEQpooNZFVKanq5MlUgpujNIh0UQG52W/PwTDxsjWea2t04FuJ
c9N1H0nNvAkcgu903H+nY6VvU/R1DBHT29DkYjF0EA+kpGyDQIEvg3QnCAzOz3oun7rV7dxU6fiM
FhluEEe99aKfXwG8bk0R7kKVA6iBUFMoI9WJuhNzvyFxZ0D91XpbWdZhvieSIvifd3n1jCEdk0iR
bYVtvMoIi0YVVNldXU2fOoHmjcWhhReRXPsl3I0suFHz6JlFv5BGwjWAF30Q4FXRWUJ4C6baQjcQ
7SSNtLqkdas2PtSBvwOhiGvVmIAkkumpqOimD4wXDXqKFsSb0fxxq+RVHWLPDtpdWnKjJju4mNzx
3LrGTvjJVsvaHaPJ+AhBZa9p8HIGtd1parWLyJwsK+ZVXoTFKmkU4DkdkqNW8Uio1GUUZONqqqyR
0T3aMDQMCwwZSzOeh8O4eRSMUjRc4fTHIs6mk6eebKmyyomyFn6wlrb6kSqsvmZYiGUvK9Y0pPc5
ZruHXO2BzrxJp9/4WuPxFbaFneOAUw+0/kZemKQUi4EWok2TCobEWju62LgGQVLF9tDZgOGo7jWE
fcpzfuWW02NNnnCl1jA/CywHVX6cmANicg6czFLkq0B/ZmJbpZjZccqZVKAZ8d4F2QoUrPwwuuCp
aSjosjuWKFdU56FgUihpx+tYiut5O87G4Mun1o8IJZuzNe/QbSRJ1qYNKVp1F9nyp2LddsV4dvxo
L1gfyGhYfApYL6Okew5NtzLTS0e+L2B7D+L6S2Obn5AxI1GuNLb8pqGVQiZbVIZdiwqgT030oPJe
QZpHIiCNTmluIHP+EuwlWVNQMSPrhxxtoUBj4CQImBrVoSyQ9bPpzp55ngVbFqy0g5KL7zEePrRQ
UkfDYlX11mfQCpikJatT4W5zEiDI+fT44rcTNtYX7LFpHl4Vs8DlIbd60UOrrm8h/ql1BlYtAk/q
TNm1jwQa9JzOCkaGYlvwGaGO7q42YZ/GRrd3E968STW+GWX5oE9s2EAqzCDaCrOckEK6c9Z3JA66
asDYDwWwTrCNGyQhNZSE+rH1LfDutjwFiRbO6NF9UkVXqMR3iZbIrWZNJRy84sGa/WOBgvcoaKO9
S9ZWsSHMWHbzHDZ+fYwkKQylIOlr+JWyJXwWUZus1cvEmQ4o2jVc+dZfaGb+MsbzolBb3KXwVAFl
yT03mZLN2Bm8Eypi5josFrvlFFa2+i6XHDVJCJCu7ra6Sg+Fntg4cfz24ibUi4NWWfjOAF+1rd6B
gw1rQc3kFJiA+SN32ZNDwuWfkO3seKP3FC6z0wC2o/e83mgSERuUZbCq7WZclUF+wkOVswJBGCgR
jI8ksj4NSH2VbD7loDerHItj29unVlQvgP6eqiC9L0v10OVEacIeS3XSxftCn9RLZwzT0hDzFs3P
tFem50jrHGBGk7OGosf+Mu8gmGqTVDmip9u8G/ydGYqDMSXNXeYDweS9pDxPLVcAzR4eWzPZRiSg
QH/UO2eCOhjSEzKWHC+VLiJ6J58GlZxpMTlsjW3u4CuzKUiMLfns9h2+Qssc1hJRhXgQqqyeKu6r
34i4xNfWl5//M2z/TY2dnRf/Ythu068o+Aez9vzbfs3a2m8m3guN9lpBpZGlMzb/kmNV0gKGYdBa
ZIhZe/2DlQMN17EwhWqaTqSUien3Wdv6jUIkSBwa6D0hSIj+FSsHiuvfybGEf2yVkIAwEIxnysif
Z23IlqWwfZS8NPUpOAcX0eWzBW3TuBQW1vWTEcQfOLtiL3EcTBvuF2Uw9UbS0o0RmWeoGzLEEme+
T8Ma4nY1foU9LPwhm+nXJYtw8m1EGl9/kMF2NGffPCEJbSX6wIK8Gi37vIpoLASnVybmbtTGgqRP
eBFtskWfuvVVdKdTr+ZrZBYBB99XOdZekgOa4mAgKfhvz0duvVUFpsSxu4tyhyp7PCX4AW1vsJzv
QC2PghNur5qXRI3hTgw0ObCXmvLZbtuNohHnm+Y7ETvvOqmGjegd81nTiSboRbKDSrcbNIf4EgZL
zucr0gIIOmIz8Ks099I5wLu1s+1NV+BpLpmCIyt9L8njLRWDWskk2M79aU6ofKBgA8wIx7VaT3j8
xvRMCXq/creGpMBk6nZz+4kt0y+77e65Z5OS7dQEETX46mzjZqRzj72pMQf09aLXClZzeyTHJq5d
SWgxFoF16qryioOVM4/IX1qt3RkGkSXu380qrlJ6cO0W1OgwiJWTmpccqBXmzlTD7gvMFKvlgitj
vgS+zQCAbUxGeFvaXnnS0nHwRnqNFiPftmNhwD+OHL/fYJ04D1b244TUe4oEkRFCQXFnlSH2hnAt
3XLVusXJHOhyjYTiqTXX1ZJDOdHeYVzNbVGd495rFmGK2mb8KoM3XodwoWPzTuejit1mP2mq16Xs
f7j+WVbMjZuGL/YkZ+cFbe/+EM6P2OERIv1P4icnRyF+qguHbTGpvkda9fAJhE+yaY6GOXqDrR4h
pW4HGsvxEGY/uDpBcZgtyc9ROVtxrV+HyuIV0CjEQ6fuh1jMxq6sXZsPe+zvz63E8BFO6sGV/Bma
fkqVylxIqe1SohoL3XbPamQdM/zTBnSNZQXjim9f+E22uVhUkmCfOeG7ybp8lbv5iR32gTAEx9Mo
rl8DhStvqpWfDSXyiIWUcI33fB7y0k17bdnCQuUKSwigGluCncPJqsQ+yYt3lcZNIi7jo5azUNa5
8gP0KmJyE19QDziwJB90S+60Ngm32Lh+9FF9FqM0UVkbWIa+/e6Pxl7SpblW2bCp4uFi3wtodLHM
XwYaoRXC4lvJS2OZZzltttyri9HmjTjGlMsyG058aSxKI69d3dah/cbUVhIyHLThLnHrPfMpd8Ew
izcmXdPrtCFlWCcDrccNAOauqtyTLN2j03avWVABLKHnq7TKTZrM6DPCWQAtJRghmgfxlhPKqAZa
Z4Mev1klon3Yz6VbUiE8E2c8TcQA1JN6szGL4MaNGXYzEMxeUQKZ7lqCmI0s33je3OMgU9DicH3Z
Oq/Q2Bm/+in9cg3zvgtBEBJUoEXN3ykS6lZS+ofWjjxDQ6Ll6TLV9N6Yc613Ej0VI3F4ZeTIYdEU
O4Ms2ayqOiPcNEZeHPnEB/X+IVIZFIeymH3f2fSJdVc5lzq8lFTiZLHEbZhByWmcEh8Q8tqRy8ai
Qso7NnAHk1O81In/zp98Gwu5T2tUZOpL2Lilc8jg82MLEZ9V1YVYkshPVCWjBP9Sty4PJOdDWDZM
eo2ntt7zpGPV55qxSDufhHiigSqn1tYP8bykUvI3SNq3nvhVASFUoZHNgWiupfpD7IakxbMRO0ut
pkupmddgYgspMuO1Bs1iQOnHScHyprpHui3axWCl6rY1cm1VdnJHRgztUWjHyHL3PpllCqv3KlY0
SIDB1xCKbl3T9LZGLSFFgk+vCPL71KW1rXBbHizOgwVUDg6TerLHk10fukb9bjFV8AmAuUVySLEy
h+8roZGiiIp7LSr2XRpdy7hbp21VkPKG3+Q0arTRXGPbkkGzgI/YPqxypzk6gY9huC7itRrRg21I
9Fi7z76nkmanMKjuRZ1Vix6LNWN4mHsWBL+cTycm0gSkae8+hvBSwNzhM0jC4cnkMnPkGzQsRye6
VA6IgNDQNQg9TeiT4fLFJkaE205GmO5s8JiP6qRgBgukzG8jz/Oj1C1iw2jz8tZH6bCUjmbjFlGx
PqQOGYGBdie1kEcjtF9EG54DX78bZto2V3kY3zOBGw7BeQ74TnaxHYz6KkB1BxWJJGB+sDannePk
+16pn5Ouv/FZs1VSaN/IvvAH4dQ0MwncdZRPGabRk5KOz0rj77Vi2CvddMopDFwMM098EMmTmbgD
joPew+L0DmPVIMMDw9sER84P95iAJ6fQj7p6cOVpfI0UDrdS3nEPuvYF7D3w5grp/3zmnYtQOqe4
hIE+WTMadkwOA0J3DSadozI4i7jjhRC8qIDUQwUz4UxWH3ztxYXI6WqUNFIfTQ9rT2U1OHYNtlI1
uA+qVl1A0/sL4Yp17/I6ybTHvnWIMc1sd0NLD5wZv+RMfQd2Xay1mQQPOiaEoYDTIeqJC1LF/lO1
mLprJb4vm+aNRD+WpBksP1TmazSj5mOdu6tOEhAGPZZspJyJLsMePH3UuusSXH02c+t5yGC2mln2
PVB7f6bb14m99cHdo6K8QK7chy0Y/IGyVGusv0g06otay56mugQP76P/O+z1SncfWhN4d40wBNRQ
8OhcHOx0JnQA4A8A8TsA+dW6/+JTChM+qH5oHaRn1PJDIjJapb9rAZzaaX+t1A8Kq4tlWJKGM+hL
za2Z8E0hQMopx5wbAnqqAjT+BQaZlyb5GUvmYyPFO0d/ascr8zC4yR2JrW5JK9xOm3sIAji2RINe
BgoKCBYiYRG1wlZ8rRT1U+C5s1P/hQjqfTkXHJiJv61Lsjnl3H3gdBubLoSEE7QPaJLrvYPoS18C
DGPoiDQo0FtI5bvTnIxEnKMQMBhr0EmjdaGnfSFp/B2pVB4PHJPduZ8hnj4rAgFY5JxHnQaHsJWn
mkcUtshVbDiUi+hE1tAl6jJ7sNrx2M5dEAOlEGIwPIHxL5LlC8+l75rbuWmNLPFOOPeR0yzRmwLP
kVgrffVDdANU19xCEasaqClSMh0nrgOd1ZgcUzvbZuTBnuy5yCKvu1NbkrUf/1Zywf8lUncT+3cA
qnUqEncpjMFHf+BsxrchAMhnbrROJ6+onFJXabwqQYVFccVHijZ8c8qpuNKFE2z+v98Cf4+R/0ub
///+X9/Jfy5G/rvH3wCvbuDxx6qiw3CcAee/FkODmkcYkDDXgawzXLAy/n6EAbGvYuwhA4CNx2DP
/PcjDJkBLi+cXyxX54LDUecv+HRQVf9uMYSvzm46g47I9vChMS+OfzzCuGZTh0LOdYHWcUziXVR/
FsVsVXCWtMazFdj2Wi+0bWYqi9DGDRuDKhwtHF90HVynNF6qVK8aUfeMd+KUpYi5IZBpo6Sjx+x2
gSVQTAyqSQo+dVCd3/K890HWwkoZy3pPsXi7DHR7wt2jz6oqR9ZzE+hAwMERQkVoYup8IoJYoyco
6KAU1cvJnXb0FQSWvExQxgEeg/3pjmGc7gitPTdm9+pO3cyK2KSdQVE9iUpIsMG8ExCGnZL8vdGu
VVt4YsbGul3zAP75o5iBsmHQ3EPLX02SFYxTCzbKcw0pIgmtXd4DZZwgK5F26CzVoyxkVVNVQM5J
IS/d7RrV3aB5c4oAZmvMVFttyL+nlrbzYdw1fbKfPTQTqdC+L9el9AExN9EMNSoPaTq8ya47piZp
dQscNg/x5lpCbn8VlXmF7447lye7xy6kXbqIbnQiWk+DklcQ6qkZ4YbfekJL943dvRPpP/ldH8Cq
a1Z6Ie6aqnM3OX7tRcoqvVZ9xLW4OehTxC0H/BQ+LEMX3SqNGBLVIl0XEmuRFELbw84+VnWq70X7
CliuWYya+to7j2nDPcV57Sx5l3Av8OWrQhDPnLGGSn2OOhl7sCo9Rei7KFGzZQt9Xeuqg1K3T5ov
7gabB+lsborHUx/rD5Gu7bJS2wUKAYJYAc4+SPLNcpu4AT/5WD5Q0fuMW+hicTdo4Aep8c8ITYij
DbN8AGDIhTRENOWIWnphSQ9pYS4pOcRohFtRGVh6zRlXVPeluuhRo+WMMopwzbpK3VOwnHDqD1YG
mI4Y+pE6Uk2BG8aalF0tXSDQe193V213kA4/h+Gr6v2HrqpXtZLcN+Y+DN+Is7IIIdnCXkpgMDEI
nRyYTCNxPeiSGwVWk1Sncwm7CSvAbpxhThVUp842lylHGdUfXAzWpHftIF0rMUogbGKwIOpdljjB
wwQxakoGXBnlRoYfaRE84hx46xSH3iQ44MwJRzSHJZcgb4JEZUCkCim+XzQGa0nic5UHTl1946Dg
rmhdW6N6Mqr2qYBwxW3sCGbyGjrjxWrzrQUJS4eIlUPG0iFkFXzq5RCzQshZVWQhjFN7EBPVaZpX
F8JWb07HbkZuKXOjqQaFK7Tte6XraJw6+wEf85nvci8JGiCU6dj8jYo9E0F7nXAbHTaEQ6bVBPxr
Ut40UGBwwC81aLCId3wNKoxXtVfz8w/GT05WyxCgWDA3d86EsTZjHeQTljMgZJVZjS2zCOCjvkkC
d1X7wtPFtIJ37dXWgxprV1LKh2qIHokic69yWw+n+EKxnjmmL7jZLjWAaxrOtBwhQk2H76bLPlOC
nwuEAOL6V7+h4VS+mcz7w3QDffrRAzhK694bRpA2SoH8a6ZLYz7n1bF5U+36vuqgWpcElGJminNF
Q5qqa8BzGIaKz4E+blItx1Cmm1RZ96gzgvQC3PhFLY++6uE1P9i+emdVREy4/gbWrhhST9Ee/von
/D+2S/y3BcX8mznC+ZdwwVubtJn8j67b+Xf9knn130wTsBysZTwLsz3i/36aa78Rl5uttZo+G3P1
P7hu7d90ClEAEIIFwD8x5+z+8GnuULAy2y1sw0E6/iuf5oaYoS//1qoye4RtAbyZ14vgbwihcFac
//xpziFU783AnlaKBQhQcSs6g2Zu7OzAeMtVZ6QqFpTzCF520nl+zLzZjCg4wD5OlKKNDj1haC+f
+bRIA4gTM7NWY0tJZoqtNfNsg4ZqB19EPTB41I+c7t9NMJClNTLDWdvZNK2tmY8bAcqVMzF3MPN4
3c8U3Vj1zTX33PHqYHXfWTan6QrsbgJ+l2shZJkGOilg3kCIoFxNceLfAgerF1En/IHDSMExH2En
dXTEQfYtPtk8QWpuCidb+Ul7HuGxQZYNV9rcjQ5KNlgpFLrGKaCvtsnUnyY0+psrwmJtJH3OZ4gT
bZpBsddGkDl7hcXHowihXCoO62OP3IU6xKIWmS3pnNAqz/1EOKIAYYqjDawC93sryp7b2IHvTuQD
ylWfO82W3Ae1G2N7PzYVvqpAntEdz7ClkwWIE9ZiAPLByrcglrRlepDQgs92bvcnV5Fi7QejsSz7
io14Ep9koFTEXgAkcZ1b+7aK/JvgR7jt6va5hckAa9oy23VQjN0y6OsjdhkT+xkAmjbSVpPpz6pZ
/lhZsEZ0e9ybsW0skSC3I1QNkkbVInbFm1GbNw0bsF/KjSkhx4NfAFqmxPpC8sOoA/1GY4sX+1wc
U9d86UOMZoOrbHzpHhDqWk9NgC24QfdS827wxJB+ykAz4O5GL13XrBv2P8ctq6VRjifDotujl/3c
yoYawcXWa4fGJ6yierpkXoxMNdlbPCFXPZWkXt3Va9Okqpk/6VgGY7PNbOpkAN5TveH68P4c6LnV
WB38Ub41rbOeJnRRxSZN2LoTPY9MgItJ6x4M4XMXrwnI08O7gI/BrjtFhzFEVmw1VLBkAOZP3PRj
0JITV1pcoJ0ut7Sd9PTHOemdxlS+KTm/HfSBq4BrUR2JYSLzrIS3Xq4FchEY9mrCJE1ENl1aXXxL
nP5gWtLd9GPwbZC2PIWpdU3L7EfY9GuqOGSSpD7IVt/745z9akI8vGRz9E6hxzEfU0hi+t0IVZZX
5a1zDK+TFRm76R0k317zAbdMpboue+e5rwVsz6ysXic7kYeWnw13/CYl7QjUWwFnATzUupi1+T5Q
U8kBGll4yqZnB51Y851g22VzU0r4MaEky5ScYepE2CoQmX0NC6eldBSHtlysEaKRl/YFwrTutu3C
nLXqWlGnXeWMeOxzMAsx0KdwuKqGdnFHvb+0bpd6RJbOulLe1HaWc5wfTIarHGyA3xfn0ucHkzFP
QII/6pm5T5TqGxj8tk+cDUUVOxl130XPb6CJqJKceCegHzzeHqYAznNVA/FuJvUO8/PNSMjiziED
vWzXk2P99H69F3Z1N/mcmHkT3mImkgCnjZoGzxIz+UIJDUog6h8X285SD/UZNwjByE2JyabBNHqJ
qg1raI/FV9RD/KC5ZMFh+En4PlBnM9ZPIvDzVWuLD9hQ/BSVCpNrYwHvsZoSyQ5puU/aSzZqGO9b
ODkTbhoX0b0OICeru85XmGRmC3ibcx2JRtS4AcPXmCfL0umvadAAbnG/bWkBBR3IHTY5nvfpMjTF
Nc2UU9tVrFO4LLCUufUm12xm6/Cozi1tim2RL8tVc5Ekzhv96zs1UJ55ufVw/ZS3IvX3fLwdEArv
4FydZI+uobf+C+NVtWoKdyNFf6/SB7/kInZqcVnZLXWx0WjXIPKIblFX5bvqtzMQ0PQnSs4N98VP
MtgMY/VgSOXsDi3OiBkVDhodxAfPGx2Qd1Da1xGqeDXjxcN+YIS16+9Mgh43M8QaAY285e6AjQdA
eTmjypmQsls/48vT+eZU07a69E1nBff3oQ4ciuBF/zo57s6eEei8IWCKRe6+VnNnOdSA0qcZmU6u
olu4xGApoRdHPeyC3V8fp/7f9KhysP7nZ/Pr9/Sd5N//cZ6a79y/5ilGI9tx0B80YQnTmOWHX+oI
vyJ0S4MjrJJy+tPZ3PoNAyozE+gBgkXYV/84TxE5MsHi4WCdyc3aX5mnzL+1y/1pnuIwz/Gdlju+
FAgE/uJ/VEdcC4oRTcXK6q1K6W9wrYNUK88qEA9AvELrWNh2scwr+hByiu37y5UPmd5zI7HF188N
845LTtlsyXhkYploLSvaYgRNlfjTXfw6HXmGJk8d1IOr9lPd1fdYUBnP3jhkL4s9ADLw7F/A8itr
Xai7hJOtEa65iZv6Tj61tFSP2GSsRYd1tiHbwK60MJVN+55AiIsUc11bX0aMXkiLzHq+F5FJtBby
WkVbkh1Hd63eBmvnoNZ8V5f6YfwOAXyVa8Vf0flYkjwdLsV3+qAM9y1e3P4+If/KXlSuU+vMZpno
x8hYh1RIKsEjiY/kkG2JerKYleWuKbdc7F2NvMMqrPhnGlVfMtww5h7XIw167I6ButZPcqUMXp5h
tT3wns+NdRZ4JtDibBPZO8c++/7ObwDi7vSLHW9JVr4oGaPGlmqGiMqnIv0q8Ol0azoz3yfWzvjT
VZZdf4qmSxaSVfffcIy2Jn+PJclazb1n4167dreyhwfcCzE3oQwCrWovODfU1hvhgKbcx6ZDqOgt
4eQbYWiN9W01vZv2TzPvvC6PI9V9McJN0W5rbFPut1DJHmPtvIXVR9gdSiX+VEAliFF4SewR1Z5c
g/QbxswS34WFjYACW33gvnGV+qXzH62fSe4qhvNoeHdfwi+n3Zr0pfR8aZPqBj3fmB6NrPmkbuUt
Qy8283swVetSfYm5B3b5T22uu+BlTB7j6l5dqtC7O+rLC06p46KOdmDvrQq7V3RPl7OJ+XQTqpfK
aGkmN1e2DZr2XrXipcPLi8doTTavdReqd0JDw8vokYd7/VFeL9PEp+ZS5Vzb7ex7V19cIDXUj/qj
/lQBrQsJIiyomxiXHePGgkxyeVX27uu2/aictXbNGcs/dMQ/PLKZhxpFhrkql1Bv9AWAkSMM2FV5
F3rJQ7ns7vyzKJic72bd5h3ekb5vmI/CVXp1HW8KEDCWmLcvXMLrS/NWo8DDgcB5vMqbqxgfOvVu
KmE2ek17dTO6FheiXjGxDcVSYrYw7+m612lNwhpWLeo9FbJLXBRn9469wapW2VHfwC1ZQNnWVvxR
CWVSxRrbHvwlXv5v4G9ZEPylfc+kbSz3Q+aJh4T3wb25Nz5glYuFdNap7cltvHFx01GM6sHtcipv
tO6EtY+tJcFChJv4MYF1XoJVWRIMM89v1Tu31h+K3p2LsYFX+Zl9WKd5NnnlQG/Ey3breNlHixMz
PzeraR3RQ/MJQAiLx+Oh3cOVWCj5Mt9nc/swpuXV7GLb9F/hNnpQdsyD0xNvSK/cY5QMF7AWx9Wr
2V4dOqR7Oo1p8qM8kmcIfj59aVPCYV5npz7DrI0DnOiMmv60SBQlgusLAvOieSNUrrWHOtqWKZ02
SwsX0VrPtrl81Pxo2YmnMvyZEo9A9LEwF7myCWnRjDz7jX4MbpZKfSThzRRYqng0dzjoOHB9GV8w
PmVAcOU1dY7BQwTUm7GCnvCPYG3ehrUBvqU4G2AOkTijezU6UJmtRIT1x00lFtUHtjn+0xfbvN/h
I4wkoyXe7DCjYLtafBVeiYbFA1iForipOHzO7OJr2nu2uiKRSJIUwBxXGFQzUN/InG55xC1p1St3
2o/OrR73xkExVva7XqzDAJEXb/utj289j/Wof2qf42+H2VzZOu2JkkU7XtmvCN3CX+HjVYNt1t5L
rpDJLdLvwRDcazw+aa2vW+9/phBuJDRyERz551PIMfou3+N/ZN7jt/2aQtTfsJmauqtrHGIIKyOb
/JpCxG8Adm0GDYsE06zr/PFGY1Ec4bpEa34VQfxB1TFodSCywZjC6k285i/caNTZVfgnVQd3vGlq
xvyHIeqo+t9lqXUzs2Xs/h/2ziQ5diTdzhsSyhyAo5tGBBAdGezbCYy85EXfOvqZ1qBlaA8alfal
D6lUZlbp1auXMtNAT2+SZpn3JskIItz/5pzvZN2uB6ZQA3YX5DKXzRTUa1AzM8ZdS1ftFGAwJchy
fIMo9T7D4SviBrLHEEM/s/YCKAvTG3lb0Y3IRBCBJZDNDnqXH5lj76IKYBIIy4Mk+J1JDLE2o4GY
S4fXglVjzZf21qTpfNECY+HEqLJmC+ob2YuKjnoPzJaBai4RAxNVjZMokM78A+mcvnGd+dwTao0/
49VZxzzgeDYVwZutbF3YSkXJRKFDJoJeiMnQVpGNTeDiFnqF70UEVqyh2fUan+2wEG6J88zm5cvk
svegxs2kHy4WQVa9Q2IhPh+AMV/ukvPaYWu2rLDdHuYL0Pq2msj2krw8F1u20F1woGjCNgSWB3JM
fnbcEGU73WUjF5D7FElZPdQtqrdOOIE+2T9xIdMl5U+4jmwZPy7uWWInt9g+i2R6H0V3p0/q3mxl
CTuiv0m6xFd6upctOEXXdk9JyRnijgl0yhIWuriU+ptVz57veuUH6wC/IiseWiysTY5bDL7q4hYT
6+8Tq+LWvTbVD7kihp4j49LWD3Pf+yULJTnLw7o3Y4l+ryrwGCY0R0Fsd0+jGs4kATIDlGOQs+OP
hgbh5aM3Nr5VwzzNbw28FEbLhIfq0ZXxEZRKAdTebAZkRGgbe1N7K5xjs3p+w/shpNh6ZsS00WGu
iiE6hHV2IWv0tU5VgP15j3xm04F3XIQN0DOoWSDqo+CRbLc4udEIsS9py08ptPu2sVg2uWlCDG/Y
3SyJTi1ZNGr7H0ffL0ffiiv/146+4vNjSf6FBoz/7dejz8IjuB4raJPtX2fTv62nTROMrYtv0DEE
s+Xfjz6H+G80brYNvo7W6I8NmPMXw2DTzZn5q3D5zxx9v0zN/+boYz1tCLnC7vhuBofp3zZgJuCq
fmlje8c2zH5KJvzv2ig4UTzAtLWmnYuKUhjdNcDbJEBefBJaBXCqa7yNFsYpTO1aPTYhLp2pwUlR
m8Or6DK0GJCRNq3J5ieb1Y8y60+iGckJTVyarCa97t3xtZo9RqGaeoyz5qILFUSWSVoFCVFmk76H
k0ghlnYEPETmTT9ntDqOS8Kbmg6m0yufZJ3+o5Pwziq3exE1tb3dufU2X+SafiuOsTIeYAJ91c7K
cS0wMHqMocyKTKzpzh7AntUi0COKci3RbyVTwaxwkAPXFeYccN0xlhJ0JOs2bTt5pP+UpfZiWIoB
EXPfsTAxuC2g9UbvStPMFNc4JTN55I81rU+e2pJsNZicluvQwnJ2TtqbzuGPINC8jIKsF3vaJbX+
DcX43Od4xfXys03qvS4fa/wbOO1u4sE8MRt89iw0ky0QKVNjN5XqoiHDobr3yijIsxr5kUXYmyGC
NtF0PxrHU2Uv47lf97YKbeh+EHlLmGtHDK+tMr9yqCSV/VDxozWKCDwSgLfNoDHfdqr7cEh2TNof
+7H6aD1xPQ8UwRaELGLie3Rc7ph9duz1zVRBQAKiOni8pu5i1iUMZnmDa5bFpLzTgevCIPUb3b5M
Qjyi2rlKAJnzdKmtPk5X7ihvQ2c6Zr31XWbmV+RQMmYl8oYBDWwImp+Yi/rc4T2MZEdpB2XDNNvD
7C4vDi2X4YgL0+YjDV+AqX3nWsBSITOh490JsFcIyox7tDxsfrtRoULEe5/NzZtDvoVbaN/xHH+1
aBdKyDsMHugfZq6N2s2Oetrv83AA5y7m9shbTWx7Kr9MMOROHQVxXd4Qj/mFggMPqgEXCyoAuAVQ
wuAR6I9LjaC7bhkflsLQjrUzHKoBL2gqXsLBAKmh7lnFrkOPbIuAqA0iqZ7MOX2UOp8xFkWDGxDU
XvtYGbPDYuMLb7DruyG7TE2DkAKTIsEbj8vWcTG6G01gp+WPuplJIuk+82g6Mdn/tq3VWeDVe1ap
b/Ok8N6p45DE5S4RuQlvofysW8RRm64nUgjxyLLe54iBY5GjnkgAqqZpExCNp2GAQmQ4FSQGlRmq
3ZkeQcXzfQzlIxz10FczQmxpMPTtjfGu5GOGcRiRi57bCoSwqZe7rum1E7cdSSUxSxFOEgKTVmV8
Lj7GDuGrqCGQRdEIhjzKzH3UReTsTLEXsGqQAYugvWk43cYY50ud1296iRY60+jKreskdrAOutoG
RcS0pXakSwASnXiY+FeC+TZDgMbV2Q5BlKUnO6Oz1PAabpWKOx+0OLlSUjtWVr3XWCiemR8sh3Zm
vDRX0M76eMqOVddaW3OZGVIpZP4LzqqlxyRKBEw7D/f1mhBe2um3YRs+wBALyxCQGa9o+GrxG7xm
aN0Y4+aBhbc1KQ5CHR3kwkk6ykuVLsdWG65Lqe7RJz8Ky7idFE/ggF8T7LPPQ8v4pvm2G07kJAnf
izBnHq6iV9XpagMy0SOtKzlnWumTUcFMAhUniTPk15h2d1pg4tjGfG9G4CKHlYuTZ3dl2UiAnwUh
EZJ2qbjMnXGFJ/KNA4bXY5+lrRUbvUsPkOgE1kkZVNVySO0Oj58B10DDpTX68Ob2IR5Pr6w+pzY+
unFyyi0Jnxx6KCmXsM0W784kOGKJ0UXsuj7zkbQSRFl5RokEEuPf3qvXfKG89IJEyeIricUUeHZN
pdcPNvIcnKnYxp5aMGC36NT7HabqH+Cjm41ni+o1ovA6znbG8cOKldl24ez6sBe7buC9yFvkVUus
sahra6KlwykTz9Viw3fR3YF1RDT2zCwihJN1EW5DHRVykbfaVjO8fK8kmKS6hzyDxBCfQnEys3wO
6oXGsx6nu3Iexrs87V5ahVapFb7M1gKz3WodcaeTSdZaw6I0mrYWgew8gPV8JY3oDbG8www9u21G
VCysSKHXZ4Fm4+G2bPveMK2dW9Hc95V9xyoVZD3u1CpaDamQ3avOeu6jurnL9WbfacphesJNXiCx
vrEUyey1a5XbaDHR+XSawAxvgzbVnU8849eyGMVBthpLT7s0TrUyp0Na1V95P8H0mJV5BdCCaCDH
mu4svZ9YYa5CHURUsETbeY2Pixpf0zq1Jy5S+bZufxm9xnjMqU91YmYoYMcbDSiLrqtDMQyBpixf
2Hhuo7Fk/ZGOm9wStm+5g7sxVXw1GBqD0gJPR2T2+Taq8qPK4IsOrvVDyLrHHexYaLBpBhrFMaG8
T6HXH+vWaBImKVBhfdTAAPjYyG32XBFOQzRFygtv3G66Lk3cWSMoRoyZ2E69Zz2NL3E/0SgRTsQZ
hEKsd1a+dgtN1ZOwosUe8dnB0uC2WQvSX8vq3xezKO4s5bw4EUItyrrYj6cO+2WCAF4bCWUZqaRO
LuLCbYh16vD/faX9mzZ0VVP842L74YMSCCpHl/xzBPT6lX6tv+Vf1skCEwTp2pZjGMT8/KH+piT3
pOusAd/rlON/yUPZjcgVDb0OA7AN/jGeEkvh6vXDCeBQt7lsNP7E6MFcJx9/V3+jcTFYfrCJYTTi
0QT8cQEyzlasF2VuYSnGaleF1S0H3a01tFcscO+9iINd9Rq9YJQ8ITx+A677AvR22ua9e8hM6w6m
MZXcdOKsYB4cAhqLOR6S5XUuR8jlRcE1N+Q3sUSj4ETyO3cXEPsT/bhdP8cE2oVdfe3wN2ZAqLAl
12GzOwFj485bw7lW6lHfYBjnQwqsIi+1o9cjr6TbL2GzQnrbmjoVFQlqGhg4QBAUSstt1y93cZtd
9SgrC9oBZVZ3yeT5XuOdR4/+lWTaIZSHjALNItYMozCTzyGww+wdLvx0gNCxa4fqgdsDMSpUA9xQ
r7WLlXCqAFwW1nzbGguHtGswc18N35nQYTpVg3zJUlJKkOJxy9q62lN2nN2xY+TqPFVzw7mjN2T6
IJ8HTXLUwuxWqfwqHNkD1bI4NvFS+cYyf0Tt6oj0ntleXInuWWgTgrCdOzFGWLAc6H3xYXMQ1CPg
p9JD/s7xYK/nhL2eGNpkHQqOEHM9SxzXOpGSFiy404kYIhJNZxOzFqPluV6PH7QzaDc5keBgvkB4
3bfkRvEoPMWqYwmWFdcCG31YRv6gQyczW4Y38VvL/qVAh4gGGmklyjeGr92UnooRhU5+NXQYRrua
5U72Hs3Ox9RBofDsdQNkguokYx5EEz6zkEcGuzwQZ1bdNtI3XFYVZC4mKaN1I9il73oOYaUTmyn1
4hiv5/NUMqturdelY7+1mNq5i5S7qQAQNUUXAKtzFY/CuG6QxvmlZLa0pKxcGrV3tJuoXSVKLZfP
iJ+UnUWzcicqLDiYRiIHklcz30g6yLCfCc6zrlm4bd2h6LdE1ROnN4INX0cZvb2tSnkSkEwNMXxO
uRnQvQJcdRdn2/b18yTIvfEAHfTRs61eOrvakzjy5kHuqmrEDRWoDrqJs9KcL01vDmlJyjjDlUNk
qAeyuHitOlGY5HpuuqFTp6bAV6Bwiebh9dKZbzhmugdDhICvsNyiyja8a0PMkR/ODMFHaq94gr5d
NX7vfWayZcvFTnJBaoNXM8mCxWp2k+Hnebqr0DYNTsg1LXdGaPneNOG98TYjUVvSY7kwONe5qzDd
nBypgjp+1qDoSgewWDLgGHQrmrM7uOCIEnC2MUm0CQMtiiucwet7Eaz0n0iUOwsNTpNlO1keh+FF
X5kSrKf6tCOf5kVWw7ktelxqOqxmEiFbuap5/SSzUQg7d65xyj0WCnRig+MFfblbquuWBi2HrWNC
5eiN+K4My7PevueQxLDcg9y989hxePwI69YnqjEGhwEapiDhTer4nM5xeKVKvC6+XuTa05+/M/+d
qS1/uzNXreM/vjOv/vpfh7/+5/LfcGOuX+fXGxMDxDr158ZE7Qj3lJ38rzem/ReBeBDpo2tIuUoH
fr8xkQyQWALh0tHJ5EUh+UfJANDTdQZmrTkLpmP9mRtTGn9/Y66hCVzBkpk9egFhsDH4442Zu1VX
LWgid1E9BvZ8Kt1xqyuYQ3ySZdzuYx5plNgQ63cTTrQaGn056ZccjgOLqjUUgECzWvzUi4rPK90I
zmSYdiv5Ll4ZeGnWtrfjysVzIUTYG61rDwyhcFwv4Y/UZPIMLQREHE+yTrIwyiSWz9VK2GPidawH
/YqPJN4C1oLLSuKj+dCIR2o0johK3FoyvopG5Wzawdu03mcMw2+ptKDJlO/NV7qieeDulSWeNU3c
aVb4ELG/Hlo/h0nfAhp0OrknuXRbxD2y7+YQxaMDHSdyVyzJS1FXu4WBVKw7GKDrPbxWWJvVd8/G
GDIe7S4uTBgo1+Gg4xmBQxiZ8DIi52gwnoFyg+V6iaJHT88/Y8O+FXNDHFvKUi+VgEkTFJmV4aXQ
YYAMrMjD7pefie+WrThE3Ljz0SNnOVvc25oQXSsNAxCAu6G17g3aw1pyCgNVnKrq6HKUG0n9FY36
u8jBiLsZOlNUqBfRAkvAlTW+FDnhEA5qjayiSFBBKgF1i9shBX+t/0zQuYsRErowHquV7WgjE2VY
APYABkMC+nHIS9asrXW7lLx92fg2S4juLscVt+7Qm5csbo+WIpnXBFtJu8sk1HvRs5siAsoze/Ur
jsJ2CzYG3XtH31iBEiMlGaCUXj9L6YfhyWwemkUcdDrsaYVV5kN9KMg9pm0POq85tkb6mqxsS7e4
m5MGkSjEyzI0782EZUKFPupptB69Vr2DZWHdExXXHrwsRBawoAFoorGDnJIGdfJDpTVgmAFmK3qU
FbqpZng86NXRqST8TC7ZjWvfuhtN86Uip0ZLB3bJjC1q1KQKhGcrpgcEYjdDO+NHmu5LfPHZMvEs
1dppoiErgIAaAjcwUFAlyQECEgqe7bgCIhzwViRhvqRptDdq+7qHKJqY9KwC05KTryUqZH+7O9CN
H0gkQ08zshiefF1Mp6SnoRqWMwMdiDsTRdC1R7eOjD+cZj/G8LiM2XjQVq5ppSfFrl1zD/qaZDxl
hu/6MDzi8ty1eHiHFMRB3wjt1kyJwSA2wW2tQ8KwryRsWhl7y/goy/ropBfSlIIZ5UnBxUh0Hy/v
3o54aqbTmKqbEt2xmmhSW5MZ3HONyTl35oMNeRNRHr4T3Cas/VFik9O4LzhYCsf7maDGJAUBTUio
y+tyTuAEvxNQcZmzN+0Xm66GQBj1gIRAQcOKJ3n6XhBuKDZ9tk4yk8iejPpJdt7jNOaHTHuH8b6B
1keeLQ5vZrX7YiApUVzFC4lGo3hQefbTQ6a9EYbG2K9TT5ZRQ5TF83MFQwpOaEVS5nNPlEWf1NfS
0G6ZU9y3ibOT1voiCL0g+eLZrpn09Yt4JOCK97FzrjyZe/7oUNi06DaG6Kfu9N1BLvMD832s3G3/
mrXWtMXAA49NUeqQCA5OUPOL9CNVE1w8Nlr4mC7p0P2IE8mczDyPa3aHNVdfqeMVEWQNhJkVgvfC
QGGd6LLadCQ5nKpUP5X5sjXawe/FYG2zNYIsdg3C1zFuxWbibCalPwmLb54zeg8L+8uzpy8jt/3Z
Cz+RCb8BH3gfSYnqlvVMmzwAdlqq/C5GVkKAAwTcKLsh+/NYdPiLR6ZC1HDz3WjEHdLO1OQf7TEf
SNZpyC2BOh2is1mBTnhoGQ9ua6w5eLqZOYImA9mxMXLUSPbYX3gEz27mkNggjA8RVu+jI49JnR1V
6OKp4xLCqozQ3QVD1dFkOVqXPfTZVFJzFyRlLHrQJWN0sCf+ZqSN13OVv40jA8Uwv6unRdvJOfm/
Q3z/fzJFSv6r5dD9X//LL4rJfz5AWL/Or+WQ8xemBkgDUBzoOuYPxgS/lUP8iU7bLqGASs/+gyPF
/gtUIVfYDooHx8Fg+jflEFUSLb9j6waDhz/lSLGt/70cMiVrDs8QwkRisTJI/1gOadCke9I3QsLe
Ij4qTUrzH715K2wuW7Fzi5G/VMQkQHS8T5IOi0RKmku9PMWOAaeH/BDdu59WlB2Nqm/l7oFpyX4i
TjGYbGMzQL+LVgxetLiJn6GoqdAelpDyDNn75L/vBSl4HlM9tzBOk5UC0QGDQSUGbk+DL70RAxTB
FcXXZeqmhc3HOeg3YIijwmLVjU3+QHzLnVyJflmT8imA8RfDtJlX6l8ilK8rW9/mLgIIFmDNHpzJ
MQUUKNLBfIlXfmCYKlgx45HkSEYeo3FKVtagzkAaIvohVPZxBkbIwTxzoNQfLpjCesJECbaQhE1m
K+m+h/DXQjVceaYVlMOVMoBgbLkXvwAQI+dz6SQLjOgsV0Rizltj1sO+Ny2/08Uhg6WYRcV+TZyr
Kt3Po+LOg7lIBkVgrRDGuibIA8gkflZmGdeANnJ48fJtEHV8IIuleWkTqZPEPLETGSE9YoSr+JUA
f1wpkDKmWmS5gqJzJUSCihyndtiOqQGsyUVlij2Cvm4Zp42pEQWlCdjECwpsvHQwKFUNqcZNEAaE
ucM4OZrvySXZx8t3LfvPOtd+WDMjk6Stef8HmkkzjWHDJPsShQVEuuQq1ZfuCiMPiX5W+d7XYYP0
sIVuqPJj0VRPOpuzbVrDdbcRq/cshRG6ivcubkvMe45f2dO4acWyn83+G0YCBYF2xp9MJhlhZyke
grp95uNy08baQ545H4VGyKohsycabBwU1XQBkU1kFUKUzaiwLwO+O07le6lsbqWeIteFHpoJhv6L
4QB67s+o5B/SJc78pU9enMzYuwMpqEbIlD00f+RTqYGiig95JBCa4AVUOhDqQgvve5AlB1jTXE+u
+9GNkP9lOT66c/VYVzxIYe36nTR+DkJcD7aGujN3zp7oLo1deidb7wIkS9UVJgXUJwT7FnJ5GAgu
BFKLtBbEJEW8G37P6wgepKkDBJ/troaTI1ApPPPF0zVfCd7DsirZpkA8YrjUfTZLdRcO2mnQsjIo
i+TZ6YufNdlYbhHeSOW+lB5lmDS7L6c03rOi+8l4497uhn2shpu4DwuufwetdBjWEMo9m3V8eMhI
wZJttm+s+cUjX2zXdLD8YgknOFT6T+KRGGw7Js/mkO7mqL7NKu1su7QwpVtfQgfr65IXF0SI33ZN
0aus/tsbTPjAIKGwZWDJAqy6i6mpy5H8oUXdRMly6bB2tHU+PZStuKlld4nt8cHL9T0BzQBTI/2q
WrR6B6QfsBg0J8etiytaVsKSbAsKhV6/6gMgsbBlc+GaHW6wlU0uOCDG5uAIpnl60sdw0cbzooU+
27PAlfOPJAUOlhc+Vcf1wpIbkqwPFmLHKQMkrExrsn7TG1w6+zg3b4yZjovvXGyrMMVyQsKC6gZq
QRN+E1QtLIcbfoW+3TA4NEaMT3a8BPMyJheblTManR54isbuUx/oTmxqN+EM50yfnI29MEghL6On
nLOg9KAHAgomt6pFtNNLc75Jps7dZUBZzNaKfc3Rz2UlvmKxwjLcPt4Xosh9HrNun0mP0qj7Lhqs
WCVBaNu8RXpa5A7CtZCs57HRAOaayXXlzsuNZ2cDefZYvYTTscZD2+1A9dBgmm6gzDFQja2gspC2
dWN4KNLxc2ZZvGua6FRW2lXXtvnPTJMIj4oRfW6nvDuSYF0Q7nRdiCTGwkZDcphV9RPQQsEs2XCj
K6it3cUAFLuA19xp+qrbVpwPoyK7znpak5sMWSTXGptq1lzYT2JjZzUV5To12USRymltTYb35MVL
lnwkbAxg0BsJHb51X5buwxhS0tf0w5NhnefC9gLweD/U6hgTpbXn6H6G7HZbqeTDnlnY5MK7jpYM
ommWPtfsODd1a7J9Zsh71ZnhK1KSb/KQgnAaUPJT9TqsKDX07hIZyLpKNNbZdMYJBpl5hnPMRved
BG2SNRYM6GNlA/Xrx08rIY++XVPD4hLqWJy7L2RrEZxGzOETMznO/cQ6R+DGMPBTCnKcXutrrMQo
BkZzA1EThgkPLluWn+0aQ9HEOLKXmFWlXiLia2Ds8K8EVxgKREBIloUegVst2bBtFTkXWoHbyXEo
PknAGBLs/skaikE9ygM5lId4DcwggChoLcNlS02YBvgUbERrwIZRmCgByNxo1vCNjhSO2KX1atCg
mV3+02POsJFEdmSJ0tAeWo+ZmQfkyX6kEV0qIR/1Io6dKtmrmoRBo745rR7BXOH+x8il8VkLCQdZ
BpbXkpOihkm1ygpace7WNJFIH9dckZKPh4fZPklvilT3WIzI/DjNTvHeRESUxAif2SH+HNfwEocU
kzSzv8UaaxKvASflGnXSQ1NWZJ+Ek/7a982tZhjlTZLMGjZZglKmNTIFa7LhZxA/fW8NVLG79rEc
ozt2x82OT3h3HElfgR/y5cbtC0CyU7vGs/BjFH62Rra4a3jLaAHE5tYl0GVAQWHWLB/bPr2i5+GF
e8O1F4MLHGAtaqW7n6Dc6A6eDGu470iOgYFxTkiSoUa7LQxGrRUZM8Zg3OpkzoC2wVDqpi/uOBHk
xeVUp9bRWYNqEjMNOpJruoFlgEBZMbfxSy294xhap1ToNLZr7I1g1stRRx+7RuJM9gArebzEaALK
NTQHV+Ft1bjuhkDO5//0u0enXfA0ZsyCTX15i0YewEg4N+bABj5J7RdPQdYNTe05l/yCLO8ucdHr
9z2LHVTvRikuXq092Zn9VKwef+waJgqdqdUCIsVXPed4Pw0wm4Q61AMZeqFb3qQDck01hl8KHw2M
tkf0Ay5iHtfZjIKo8wGqb+uljzrsu43RoBXVnTzIcF0bufNZCINQSj06J7h3mJwcSXVjCNCmxL1n
2m5SzhugsRqvMKYMIjMuaW6cMPMGS97d1aX4WuKUdBGcR7OhXhmyB6wixt1/TKcd7GEO4kbJGPgf
T6fvq/rjv/+3f8Nwev0yv61zXZ1QBfJldUa/5moo+22dq4M6478yfEYZvm5af1/nIj+32bEhmaRP
E8ytf+cDuA4YIBQ9LIjZAnt/aji9coP+bp3r0AwaCNmFY7vMPP62GytnVaT9SBkZgjeF9AJranqa
xuUEq383N/IcJm1gSHXVsEw0ra+RM+Fu0Z1j2YkfdeH4eZl/KdYvySACs01fR3O5kqSz5PQyAPoj
+P0ypsV6EOI7iuvd7E4xEEwmyjcRJFA/E5KQ8iAdqjdlpod6Jv8H6himfWqGiAFhCnlQs8tbKJxX
bZFdc31HdkV+1INXZ+d5JP9LNMcBUt046zeME5GFkY8yvXsyeZxYRbVreaMuWRK9SMoAvC2qhz4Q
MU1qUgKKmmodNMbucugGTBn1QK7Top00T5yJoNoV3fU4O7foSkgZwJiDxM9hRBkz50lzeUYn6bss
5qzYOxQNNdJEqgsVZGE6ZL1kL9D+N7MHs7PtmQ47ARNcLtEqIVac7Ja53upV3CL7W+QGoeERSdee
RXiAYHNEr0o7lNsHy/70Rvavcb11meSxZiBo13py4A2aSzMHs5eHNxFQ+1fak26WfeBF65zHq74z
wuTajmCGacAFyx4ENTWmZb3FcJbGqEis/EyRSyILy8xNOjhF4I2lT/gxPih0XLMFYawlHQuXU3hS
EMGvC73Ecmtz79Vc8O7g3iy9NV2HAI3ehJXs0dT3BzuUx4EYjm4knhW9am83z0lHYnMG5wH/PX6y
JL2a3Jee93EN18wtZ2ta7m3kWrupZUAuGSe7xLThazeALV5sHkC1EFtEDoI2hT6pultlPUyQSqE6
4EFsdmlm7qCgYpXviIVImW9l74nLHg/Sa2EkJwXhTsDczJvqwcFz2VIPSBRRcX4XmeGWt1nPX7vV
h4dNfcYDRUFtXPQye9A7gVJ0qOadtAVdDrv+bgUnNPNkHqRm3oqkCkqvPq4SvrBAG6SKn3CxFOU1
/cJIGl30IG1CQMX0064oNNe3gWvhxch6ute2wDkJdZCtidGAcAAMTIlSeH2QetNzpbLrkDs+ltyd
gDyuJV6mPku3tupBp0oYcu79NH5ZY/SzU/fc4sFgv5r6sE+J/AVruFUO+1aAQ/WU+R6PV9GJbWmG
8mRFimgPavixJYXUeg3ZgYewfUaw7N393JRbY74ote8T7TgSDZcuGpg5SMUo+RmOAmp6RXWKbRrQ
K+NjNTMEqOZ+l2Bykz0PUgvEN8ku3Wo2FBmC1zxIhO7X+W2+AHbuTKBTycE0SceiUgnTuvBRLflm
Xp6GJT3hVPcjXJG6yWRoZjrqKX8w42s4gGfctqc+pWepR++ltZt8p1kJlKwkZTv/pjEE6KvRnzkl
UpRtTkFmYAve3ym/emsXcYO2TR109ry3moWsqwyFAIJa62ug0AkJnLEECoLvFQiLbSJwSCfTJ6bt
JoLtwjqHUO1npK0ucgmLUlb/SEKKe4r20kYxzAF4ydu2eTGw7iftR8kU2E1Qb5p4boaeFKidYIq1
dwxsKWk2/dDH8FGRxIEe1LrUaYEDxEVAaww/w654cRC51o26eJLeBLLTg6olljpw4YFul8+tq70g
BMA2Gpc/nVx+L4N8WsgvH+FXkey7Mp+WGFdbFxMSQlaUoZpr0oi3IVxhmmB/TrC/OMywMsjd0y+c
Q2LclmLfdgvJvB4AmR5xd9sC5SVOwFN3LHyeKntm0E0RCwkTUlgP88WpNeQfjJCHFg8dWP0EMJY9
NG9k0JxTFpcFAwuE5NVGoaZ0ezCxhfVY12SUOYX9nnjXJaHKiYgPIiKkQSzgNpdVosMwz2MjKiRI
Npt2H8rLPKhtSkyOWz4pyfSLHOsyykl2TRRBsaSMTO2CQw8wo5sR8J76hau3QaHrKBEBndnO09Jg
t4zdS5dbJ2HVVPO0RK03w2ZanOdYdC0CHxX+H/AS/73u900qiH9cQT0kAMC/Pv75PHv9Mr9WUNZf
VlYSsjfMHubf8RJB4q+sJIvpiP0LSfH3CkriA3QEQBBHWDj2/1hBwUEysa+sZCRXZx//ZwRxzr9Q
QRn8eISbCox//9Ow8gdeYhEV02wukt1XvxTbeCYWUCKj71a+W5QhbLHnea/JYsbEmlR7A6fIFlbH
VdiNBwWHrGImZcjIh+TX7aeOKFPNRm7dEJL5Orf9OnVZOxs7zf264Q9M8jS2XZEclyRCcwxFQIHq
D4CubJTh0dI1sJhTbnj2VRHT82IKRtO+1hE6XeOGf5OpjjsegbQxVcTPFMy0VEd6NZMptw2/i3F8
YlTI8E3blSwwI6ivIb8G4rFDYzfZ7bcsiMHAVHZJDa86o9AmcgZPcJHPV+DK+ZgmHaFWRHy6hmZs
ge6Qq+7dO7ERNEtL+9g3T0KVn0ZGLE5mmIeu03Z9J8iiL6kjCZp76dd9K4KfTQzLJxLRaaZE3uVR
e2eV3TmO3deQaTfscTfel7nTX+TANNkxih/zkF0inewVhvxnuxJaAJ2LTprU1E4hDCrD0QJo5546
7BLYmOQNN+Fu1L1vao8enJ9xrSy74UtTErkxUPsKlXXpuS8qdW/HnrisZjG2Y8+gqcgIZwmtuyHH
fROXeAYymw62tMOHzKIPXyY92iZFhOVQSZS3Ms322bqSRCotjxYDyn3TTPY7Dp7Yx0ii/LyNaYk9
Vn5xYwSIh3MWfe6x9FIKKTwi/mTRWtchHCcS5k+qdS6R8HBH5tWnGeMykcWrLDXBXCT5FLX5SNux
V6O+W0eG+JxZF0ZjsDRUDoYrDg1/vC17pIsFWIHU9I2peBqALFY9GWR0DBtjwT4PVNIvJ+LPJVMc
qr4ori5VnV+PLs4Ee5zRe1EG9+6ZAb9Pm0DFLeNzMatTydNvzjg7vbB8tCfg3gqWRYsFMjSOKYvo
Vlj7nvUMA8czkYmHuLOPBspJR5U0Bg0+zxD35oQojb7jgbCVvUzy52VpwUz2wxIUBnQf2roCcjBe
/2LpHomC8+eMQKqIdLQYJ4aQBaYn5BIE42GQArrOEGhkzhqRa2GsXqoRUxVJhsesGu4MzFZdSG1o
qOihworlFeLBwppl5XqPCE3WWxFFWK7G9qXOKUrYL/cfxuruGqLxf5B3JsuRI+l2fhftkYbJHYCZ
dBcxR3AOztzAOCXmecazaakH0+fMqqzMrO66Xcors1Rr11UsskkE4PiHc76zM3zamVY5vyYsYGSY
ApZQrrBZBk+28omBmXwcIVcFGMgkRrKiNZttj7WsnMOzOMJrxhQ8XxAFf4ixoVUffrR+AK2vPGpe
Mj1YjmyXgotPTk11439Y2oIh8zCU43PrWmQCGN9mDHCpcsK15JgnsnIXjjMY3FwM20p/FrfE5Skz
g31rkNzJFLBD5pg7SG4Rd+B6S2sGSWM2k1vGMVEp4SrWTCWs4T6PQkU4VTrXCsGr1QGWVwpYQbnt
SXT+LnrDDq3sqET5OnpN18yu5rai+q7ymH6tRrKoARLPVeEVR5+Z1616EV07rjwak3Ae51iCGMgo
9Weo8+uhYQfIuq/bhFIES0AvV05Y1GuehEAuJXpPVncaQuAieoyt+CGlvB3bcVPbYtfzybKo2tpC
uwGkHKFVcOSCceBJ2AFZJWtp4NpU61AL2gtDVeNpT10WUahbFOye4R+DsTyjsmqWHVV9jw8jo9Jv
8nITxqohFTktr4K+zpKEIV21CkLLnJvcbViXtWTCV/cJLcekSnbGwA6AJI9dZoUqK4AHTVA8Fh3X
x6XhdcPbgFihUj3UOMTxm9b2I3Jn9yJIyaiGgSV4eqriLKcdq1RflvgwFQwiTlYyRGMi7bZZ8UV7
madasLfFmF19vLFV7mXwXlx+od0QfPkt2fGHf/yPf9fqxWTS8hfVCzkRIPzf//PyRf2cr+pE1yY9
AOG9JXh/KGn+bwMgQUIQ7gwXNytnFLyBbwdAaPUtvomwEMSLLlOj3wdAKiLIMjDA6r8PlP5G+SKl
Uh9+DzQCs8ZgSjcENYxpoiP4dh3f6F4voUR6Kzs0j5jWdkmsmD8VM9LWJ5+drLgVeeDsxXpJurj0
j1mP6AeVB4Ntszqz2LlsyQOCRZCoPigwQdxF9/1goTuuxjNTAyo08Pa2EFQnSXc0xHyY/WRbux0J
ISW7dU8F1fbOXkf6TPYkMRGEvlmEoNedcZrNKdwXyoTYNM7Rx7w4wtw1rKxIBocoq3UHRHbkCGXl
VZB6D01vHpx2npbsB3ZGamHm6ld11OFJleuQ5cbIjCBmViBSZ4MX5jrCMxAm9d6XFkjpfOdE05aM
6peWyEqW72SJJDUdRc4+QbjrImHDPydXIyBE4dRqXt0vCsfa1KxwBsItQho4JdFOc2ct6nkf1P1K
wh5CDMHKXp4EvP28vD+vqADzPLo1ScHcGCasm7GNCBcqfALNI1+5KEiNOWNxuEokv4Qvhqc8ZWus
aGRLz4HbJsZgWeXKvsMQeUApiZUMZxqYgnniuMapPy7KggVHrguyzHD1bfSi1FczSUPlmpGNvXMa
8zWeiBCIGOrAcPA5/JRWsYLoOGty3vpdec4r/YLeaK8lsEpqBU/wr/oQKAPFKYVPrLxLgfaSxwE8
GgKJUb4jGpfn84xwawQ9JOrkxMeWCzhgYng9mxRJWbybc4wCuMVeg4++uwG7okcT4dXUOWZwFfj9
hr35zjSeKp3oZtMPDnrmjgsv0YmUCOXa9acnGZLM4FuoEydf26BBCFeGQ1sIl+4UvBxveZ3xxxQO
7OdLtPeD3ayGuONFxQoxb8l+1nPYyO7Eh2yrDSWb+W7Bw9qvrDh7dALEtJqnwaWhhEQ1zPvZw85d
lnq9cPSJ+JpWg/jTW0c2KfHOSuBR2vADE3tOn7UUFa4sy8+u0XAfFUxvwpFdumtNNyWvZEPv7mbL
33MDn0dTe+HrlJ9Oeaw1qEmxwSZUuDkMykQflzaV5EkSBycsLOgLopUkR3pMSSAqk5HiKbGWMR1v
qcfn9ES4/FCG8XuxasTwejeY3DDcp2LZww+uEN+ukpo1oBB2srdQ2loVFcSYAGwopzA499iZRmNz
nvXE2Ws6FUc1aVg96uuKU6AYiVHXyzrdkwPKqK6m0PXc5tK1h203OG+FNmzjNrwkrBcfuwE+NnQP
ltO8TUb5khkj3U3c9Vvgk5vSgVcSN2+xyuWqGoNhY8NdqDmQaeOYHWHYdLTwGl7CwC1vPK8yDxnZ
WmvpDyUfEZMyx4xZCYL2xgricmvF81mZYhP3827nCaCyRvBokgS7ybsaVWXUnYIq2MR5cxmxa5Tu
tBeEoC4Kiddaay0Ato2HV6in8sd6nd2Xc98dOJDvMyt7Q/e/5HjetS6skSjVCSdN9qNn3TDFJY9K
vy2K9gJGwp6R0X3sykNEtZzbOG/TMtglusWK2QV1TWSaVROOaCvr3yiDe69WPpwkQ2bYiQfJjujB
ssPqTuua8ojai/uzLiHEs/hyl0GT4Ga2JLw3Zs7oKLPxssn0l2Zmhe4E3rMTue+RcG84hY/NEJza
PXRyATt6YePOWIYWXCm7L7fExjB+tYa7UWJUMlN+zSZmUjci+NOb4cykN7MCRsRWf7Aj72ksk2Nu
66swlru2yA6d3Z5IxcNP9ZMqGa985u5sk09IGjvFyQLJJbqKapSahheoGPZ3t5rBbU1Ff+2M4noa
ixOqnF3kFC8++HG9Nm+TmMKQq/amESYSAJCSE+Jtw8YDpqw54RAfhBaf2jkTo1pHIGOSc7hoShxC
cR5C/iKmjPO0PfVT8uMLZ76S+kjd1ZoOvTblfpC7j27l3ht6TtBXD6Sdb1k1nmi20dDelBBJL7tR
LEQURSzr42vXHLRzyAvBMjf10ywQ773nvye0RcyKEewTK6KCQ3aAY26CQYLMKQ42oTLb0ItPKxVP
XI4cdbg8HyCvcnNrNK9l1r7KAFIPgdzutoz9K9+Wr3HR3Qaxbp60nXPb+DV/mC9uLRdyVA4yc5Gn
JMPOsFUHLZgWc+EcAbhCkIVbgIQs2lZlA1TALeWKGAlrWwzVvRzDQzrMb41pcgaRozYT7M71wu6m
Q95hVEJAkxUnG5Tw+64BKcaK/OhFxbVdwdTNXe10HhjVZajG0LLiZYfmMhbu3irCzyB/AWwCFMaI
V1yMXlCAx9AXrAGuBpYipUtaYC3RMaQTLtoatqE/HyOXNroJq/oxTexTI2cKr2szzwNP4UyHy9Ey
6bsCsxDtTEFMTURHw5+eHpOa/OSayVzVZT06BTRjVts8xZ6NxkrSEcOkDcwJ7K+VI7yP3pLMXIqe
5g9JgcueCW+Cj18e+28E3RijIfsgzCXsS2YYsvLECXUiY+phaSmC3KR6DYxwetzOy0B4J0WXXwzj
XC202djGfS5I4vOeyqpcBeSSHYxouvFY4qM0H08E1YijKL2i6tBcMJG0wwg3mxOSPV40zITgwssp
l6QfcM5FWnIyQBNYwxB4bRqQ/sP8HNb+VW2nD0lAjKwlGeaHEvuUUZf3dc6pzcGBJJqACoW4va7n
6cWu/eEanxZLtGzYYpvrkduh1gcCjkNseIn79LGOjWOKHWLRyLxcVtG0JgPbRKkzyoVToahzCvdF
6sOyw4TJoTqlp1kllLAPjUzeug/Imy5E1F9WfsQ+pH+fao3HomDNZ9NdRtY2ld7NaIi9GbBMLxHu
1VO4bi12c8gnjkJLDszwadd6i8gBBjSeRVFjpuM6EZNENMmE1iSWa5EbgDomOsluKuHp1yvgFGur
LFlH9CvbjhApRVes82/7oL6UusPb3tqGVrqfoV7JkFDtmHZ7EtdWiiQn5bBiai93ZpPRYrtddpXX
07bNAoQUwifAyxT63qpAVTOOXrs6iKQ2u4k4djVB89rg7Aii7GmSDMgjR1cohHJgDcFa0Ce+m1qg
uOJxjvZx4AYc7Q7rzmg8qxnlLeIqfCWfByh5/EJxvCuomFuN6Umt2fuwGvdaNZ2WkTkh17Jf6hwV
ieHS0v5/37sZX5Bvf6mjvnlOm4iOLG9Zfyow/h/f9FuXZn2iKpLYmQW3CZA0xs+/dWnmJ+zTHoZU
gPymJS1W+38MmfmK4fGvWe7T2/FNf3Rpus6/kHi5GU5bxt8CviEK/LFLozvzHF1iITOYMn+kuX47
ZJ7buBrsmGlo6tgbD0+11RNSLDjAPQX79nBwjVFIuyFufGO+ArZ2ZpX4Sk0FC+8YJBZIHvkf6k0X
CNz+NZI+EOOuaNeUyfeayO4tDQg545Z3r9C9bTJMJ9JIbwzc2GhVEaZZ7grPmuKRIjoyFN7cV6Bz
MqjIX44k6TgKg96EWXZWKTR6xyGzGxUufTKTcyfIXuIRkLpPegkhkMDVxWxdjJPGe7Vj2BtDYC8C
9Cs9MCIyvX3aCgsXdakRDZlIXpmGt9Fgucu0QSADS3SmEFjIom5IVe7eg1Y7um3L5A8WPOXdqTEP
AFChNPWKF4+Rt1iFiiFvKpr8AFa+VXz5Nkp7/hCY810wcvCDobcT/dzNO8rvqX0YANVrAOv5oDHh
ZMVrD8qEwgZslKLbJ/xfrzWA9x4NJ6pUtpG1+9BHAyBScDi8I27qoFyFJnU/V2bk1cQwvczHnaFq
2pkxUWc9VYCPFpUDq5Jz2pAaEI5WP9SKz2/Pt8Cw1eoOhNOsGP5tUoplkLWnGhiPZd/hQu8/oP+1
Ndy7SZ2Sz9D5N61dAoGLMbnSy1c6QlfihbYjeeZ1YdyElD9rk6N27aHFdSNYbm7bY+Xwn2PK+8XU
WiuJUbq2ios+5Op3tn1Sdo6xDoN6V8+S4Nu09ldYttJNW8XFMhgL+Z4FvliKxtAAp/TybtZIm2Vy
OLKl0NU+PepWU6pfxqKCr9HhBi/j8aZznWutLh+HFqGg0NqzIkpOeLjY7GlFhOTUygD0GSF/DiNB
4PuTc4hcUtU9+osoa/a1V54hOzuL6+59ruyjkTqreLL2ifGgNeYzf8MdaHw44xp78M6xi0utkCXv
Lym0xeh02me2w/CMkBq7ebNx45ngGV6NUptfZRkFJ3pjiHPbb8brwrHfx7Fc2y7W38J8GAQM6LYy
sstc08br3kObj25nhzdm74X5FYuSdWcWGzbjkoyD/iSjBt3O7Gde4zLBMxfJyRangz+j6PK88tB3
+lA+aAQgEvh1MFtkArIEOWuytfUZXvjBgC1gbBN7n2h0cAFYZXDKGcHmMdFCte69lkAJQ8KFdVIO
Rxcz1RRg5cd3N5/lA4RDW1u7bDbdwRtPelIN1+2MSiKru2zrRw2b+Aa2rT0hdI8xoT01+vjUWvHe
YXJZZ9MbIhpWIGDYVglKmE0doiOYI6QSC1M3nr02Kjd9Em3afsLcPjWn+cCEAaTWmuYbSBaK2UWK
5t7RMMHCmjkkg10tyzC46lB27z0jE59NZNNnnlHrKt+L1lUPamkudS8Xu5DlGSqWZsY15fXeqVPb
tEIutAg7mJ9ivaC9qeKD2/GQOxm0qyh0TrHeEvleYeP0nGgP+GaVYfPMddqlztILHtV0HyI1RJeQ
6mTbI75AuegfSlf/nA6SLTAcWsdiLDy12yC0/BOaUG1nSzpjEDFXsgnfBzEdohS6SmYBavbPat87
B2voLgaLX2BiJhXU3l1pVzk1W+2gmE4H6u98fLaT7NznQQ1n97qw3BtmyeckKj/omFAkfCeGLcr3
VTE7we5M9+c9ypQq12j7fCMspvZhRCLLxCCPjTqDjEl/1EwyXFvXPTFyeSasjhze+QK/HEpMW0Cm
Kg9aZb+Ew/SIln9j9d0Nt8MruYd3QTYtE+rxTtaPhFXjgoijG9uvL7q2TVcyoGudbSJmC5PRS03K
04qWdG/2OAK60FpyTl6iC36DS/1mCfBYpBvA6C47cEZE7YZu9tSp7N0c6f1ahOTxNiqZd1QZvZFK
6+318X5W+b2GSvL1KiTUJeG+Ws8bQ3eQu3MtUXEMzZGFKvIWe7gp85JkbBUSnE7FtlOxwT6lbeKP
j8CTYHoQLMychqNQr+3VmDU03h8BxOxBt7iFyEckndhD5RqTVpyo2GLeIi4jFRVmnEsiTeCI0Z4b
Mdof5zKyZ9hpZCDrSWwt52ocdx3nV1/58J8J2LBV1Mb/lcpt+16cP2fvzX9X4/zXArlcFITtf3z/
j0zzf5v2r57b5+/+Yf1RIl117/V0fG+6lG/9shdQ/+W/+sXfCq2bqXz/H//t+S2DpRo1bR29tn+u
wf6aB3D3TEP7Xj//4+/7KhBAe2sKXP66VNURG/qvEkv0kzqJAZR0Kk3pmwm7CxpAoLHElm/JL9/0
R+1mMcLxmIgL3aTy+1uGN+fPtZsJFZhkxg+WAFpPFgDfTtjZPxU+41sXOkxIEzXo2t5ymF3zq1cA
8sJjXFgD8/EWI8x0FHFyYnkt+2pnpN1jO0Dgy3QFpYB3vpadMlgkDU4fqPcEExMr905YbHcwSKYl
Jq9ni10Eg/deJ5PQClZhI+8YYu+MJr8MJgRKLOB2uhe/zi7vshlMn2F1Mx2fOKvbrsGuVKt1J9Yo
X2O+YsMqcMMgWlgB9PA2DM+GrAePX9X6Ji+mYZeB4dogWCWfBpIySzfDPXUGp9+Q6l0tEyeZbwco
ZosqciW5IvjRewhimmucUzGehNO4d2i/nRHZTTX2lHRGS350vfVo1XVvcncpWoFFTBvfIyypaett
SeBsS6Pf0/D3Hk9kGzPl7JugW5uiA3uQWjBr8vxIIhVzA7NsFd2QYcKsxgqTGjDUA6enWxjbMKLn
TZhCkFpeP6LqVoMJ88hcAK14Ma/xam0rNcQYmWa4IrlqQY1azNK3Rm8jxStPURMRwarGICbzEEyZ
e8boiLgZIKVMTHqmMiwDGKIUWr1zmarEQ37syClZEJq7r9XgpSPmaeF1nHN6ZVzpajwDEW6ZZHLA
I88EYR6T8pLqTIJ1Zr5TjXa0hUi5LXjTjqkx490YzEve+rTsnXeLCm6nUUSsoiBGi+VnSJ2Gc7V7
T2vmi1imqjU/EUU6CU5SQHTPMKpJSDO1l903enrrBNZDrgWfo0hDLtfsxOw86V5z6TOY38WTcUk7
fAn74CJN+tdumI2TEMLjItMVTKdzjx6A9az0nl3GswJyGhuWOENOEr0jzXrrCrnVLLjHjG/XEfUP
Fkj0wQllKnNqF9I08PSxv+9nJrJkU2qUbFjLomo+kXp0HgjK/1wjcWxG5xtPl5kT3Kayv9cnl51T
DlkAgSeZEAOxZcFnicdhmVrGY5kQppMw7Rr7DKK6nr5aUtqIB8Utr3570ZfRe+VPr16sneWF9QDn
sAAdMYlFHTBq0cydEetnqdV4nw0mY202d/yU+tZ3RBmwlC3eRO9fzdy1a7P0i5XItZrFjOQu6l2w
lpXvPvttROKw5960hf0YGEArg4jPXTO1dpWoSSHZYvWeyG2gCVpwzSCvPHdAnW4MnQBvzR+eLOCH
7wys7zNzfMlFd5H11TXok4F4Dot4ai5U1mPbEZXX8WwV1EalrOB/FvapLlBkBrp/22WeS3WrNEKB
fSNycyN0/yyfk5chrrU1HlcXPFB8DeLibvRHjUIrJ7oZNqAv2u7QesywGsN46afqgS+FOy3OxDJq
alItCiIcrBAyXows/Ly3enuFuAvpaTbc4jKuCa8c3+w5uZ+mlGgf3zhxXO26tAf4PJ4ajsY3TSou
C5tTo6gTQIzGjlnNpayq06iSy9x1wVU3myztLpwWDK8Z7DVjWpqIAieePLDpZ3qoYSnijES0eQpC
6ejXztKrjsJQ9jq57kVx8JKCb8jkvhTO1qjT0xrP3hiYZ1No1uvaCol10Rj0DJV+iwoTbhV3guzI
UBA90E4r1jdBCX/JSI490h6IhXCJavwzSdzdy6Bcl35K9qmdM7rUzJYCPj4pGbmqGHZ+WdTKqXad
MLlfRXzkHtoTFrVwUUISLgPGhSgOEoqnoT2IZgTNYjfjxjAildIEkXFCJRKuhsAkRHQKCOZmOMbt
fyrLinASrdVJnQMNb3p49YpY24zeuLXMaOfEGs16IiAimyObqBkfDSr3J6u17nWHkL9a5xxNM2TA
hlsmb4THkyMLqSnsjeJU1PWFn8Cumir+2ByeJQfdRS9P2XysBYkkIK20SImVud/L2TpJtfLE7W/y
1PZOKcBgrkEvaXlk+gvHcgtMTPh8sKTzBnIY84+tnW1IyWX3LNtzf6Z6n+rBOqP5GRmUDaSZVRnJ
GSb+gCnG1ZlmRbmFkxjitUEkI030Z1lnAYTySQ5TAlq7r17DbNrB5UephEQ5zmr+R93iJRPqX9lY
lnH3mUvCQA0wCiqZkDfvnBBkDImyOnQZJbhtOYdwTjl4OravDZYAbKfWcFEK/YrWBfH2DIy5sMqV
iU9qWTbxMY29pyYcNnEYv/iFvm0a5yJBnrrUYWFkxBHTYhAWOxT5Ier51LoaKHCYNpixDes60Kbk
tauKk3CUavBe2MdCR05bSUdeAswwpm0v5vTWbIfqQQt5x9lxfTvVcQnrzovlSf8xTs8JTps+EKZw
MffZ5Fyh2+l3QLL4O6xsw0L3MABAHZ3qxVP+83LYOUDqQ0CpqO7OIj6HEoCqlpEyEwk6MZSDth+x
L5vkia5XR4YgjyMQVlrg89S1UWIl+0xRWj1wrSwByCjFVO+Y07G3sJIAdmXDNy1bQlDXU1hOixj8
K/lmVD0BFjlb6WhAxPInsi0FGsurhmdGvEv8sEung0uGLcGD8rNIhH2ZpDMcneaoWeNZMel7HzAt
kgqmBXCmNbhEo2LX5kBsxx5U+OCEjy5422jGVcbXxdIAfRtP2TtRiebCqaHixjmfvteQIc+uwYCb
ywN7wgC9XjFpyneV04E9c4mV7RRx11fs3QGM0wyMlxakYIEJn9dXpF7xweyN44OuKL5NVjRbU5F9
Jw2xH6s+CyGzvALPNy4RQlMkmfZdnVtnA4jg0ooPBchgs9bPgUS2DJyT7YRAY2MpvrA9Oe4Stay5
1TSOI51mEzYKRGJ3Gp9NxShGDnZolR6+V/ziTpGMDZ0htWZO0AItUpcDoyR2xYsv9TS8zxT/uDO6
K9wxzaKdOn3R5T3rCHyNjd8fU8VPLhKoedy5aDFhK9cF7reeU2dTKfJyP7fphg8nXuqZMbMYJWeZ
mE1gzRHY5ljxm5mLZysLpPMU0G6BeBZGgcEe53OfTK+dgfE5Hl5a9BKECL9WMYSdXvGiYbRooAx7
0iBjKhKg0lUVkTlO+dp1vCPaLC/XTWW6m8CdlP68CW80q7ntFam6VMxqD3i15bFJBWZtx/r9EMUv
+OR2UwbtukGvW5NvwerV5sWRZuS09LxIS7tmcK+I2X42vgUgtC3g7iZCdglae1aM7VHRttHJVQsd
RanRkXGuiNxNm0GmUZTuKZiqi7iM7cOIJXiNgo+7ECHicuBdlkS8HRzTgI1oM5lCuZrzSqp3dtm8
92PwUHnuux+I8raJWHjoUfqSY1tlhjevqRm9VWIQaiyS5rY1HBi20wH2grGkPc6WOJ8TVXjE50wY
HvoWNKFnKMi4K1eGV2LZ0A3A0dolApltltHUk7ZJkcKa84yyUZVb+WtfjQc/cqHPVPhoaeY3XKq9
LoyXRNrofLCJCx9VozkTYNoGzrBOi/xl0sfLv9/8/pvl5X0F4pmEt/xzydndc/2c/K//+a8x8dSP
+qo6o+X14MGy0viA4n3tiSUBe+Bg2Wew2kVGRrf8+z5DfnIMm6ki/arjSdehXf69JwaXZwmdVQau
RAfYnv13RPN/DrCxGOC5Ns06CfLsTgwgt9/2xIHWGbhlgMBoPvwtPRzOOiGwjA/N6VTO10VBgZl5
IM4DcK5xK3Wwkf4NS5hpUTZIDGT4FoTBk4gYLjsjsmqHwZ5OiEOP0Dpmll0zesUdQGgcdsFofmmA
jOpteK5CQ6MxcpdeC5KjzOuDWdlbfyoP6LrvMB8qrCRneZ9gXcIsn2U+oif3JgiKYjlV/apEhgak
ubfpuiqicUaYfn28bBr7SqThozU78hSQK3vR/BJKwyaLi3VuU7jY9jLBs180M4Jj/xkg2ErGJKfS
Okcdg8C+QcrQuIchDA5WBP3ChGS/LB21B0HNdLAGctHNbobNGR7BPmBfjh+zkEmBCfcDNsimFITK
EORJFgH6Z3jjzYgQqIGQNgCsLaG4DvD/eOP5Sw1bntCjlVFRA1Zoa5HQVSE6DbtG3MTlNpIUyg1B
NTENMtLzq8DJ7szWWHbuq9DYYkCO3lh2cAv/Otob7hVmcyQKnJegVrZpo6FRZkm/RHK/lUF/nB19
MzamiwrA2Y+1EsI66AgSVyZ7MXXuslFdZN4m9+oWXZIjTT/A8Hspy+nMrqd0LT0tvM065Etep/Xb
MbPzp9Q2mzcCf7u3vI4/O8D12NaSGk8pXpMv43evlSYwjlUOQvQ6X3v1W+4kz8ybT1zNv9fNCIdc
egX5/nRq9JPMplHyEdu12aXGES17RIxTFaPSzh9mhntMUNbdFDfnBUkJCyM0LuyI4Dyc+Fs5ALyY
6ZXjGP65DWIGaN50JSPnTKZVu7IQKG+Lpt22ZDTt0KCoEuu68e173Q+vpMWn7NRInuJp+ffPzn8z
uS5uH+Z2gs0qB5yuu7bNTO0vzlD2vk0Zpc0/1e3+wx/420lqktXOMpHzEh8RQc5fD1LjE3pZtLnC
ZDHsEn7zx0HqfJJofVn+umh/f6RpsQT9Kt7V5d9bDOs/uo/+wYX49iAdMptptUVFZsnRksSCOhAc
YYGzDU5HsgTb5sZr7JhufE6YANKO3pgzrcVCYzh6q9vsPUgENnap6+vbSY9VnIVtEbzlOsz63eTK
yvKR6JOsPo3D8Y5WyF8gm+sYhmm3Y5go5GWCWwcrMuajfE3BwXk+s80MgupyKivcinb8zvmibfXI
m9kidzGbJ2Yygdue5pRzglOy6xHzeQhSEXQwlCvppeh9YC7wpTQ6gmcC4xIVl+kQI8zK3Isa7iHJ
FdCjO8yWXWu8s1nGUhCuLBfnT8WKKBUAH3AbPZJfTVCVhlK3apJwU5WyWKYFDWDRebQWfnzhm/Vm
QsCjzeZp7eLaLfpm32Qa0WlJBLSBDGc8mhGoIGBATPv60zJjflO50bo2xdEbRLo0MqrvHHPtGtkx
TobuM03NamjSY4+D3deHpyKq2OORwA4LJ3u024qdhaqwY/YjZtE9JpKBX5iZ22mAaJU0wbPtlrtg
APzFsBQlUr4fonpXVqxceCxeU5MtDNu3kwYY4SJEOowuq6FriC4da/ocatZVnvndUm+o802LCTTD
1KMwC4YDHuOkKbRu6DfJn7Yg3DCXvhCjMb9OJRZp4q4NOvrh2jf4pQJJj5ZWdbZqNMH4mWErfDXw
IgGwyoXdJndJKHPSyfO9l8h1wHavd6L1bOh3Xjnnq8zWWpIcJ+Ranr+AP7iv2CmVDoo0t0C26Hh7
jtlnV8rX2hxuTDZSraY/1poERFMeLF9uGrW6wlt6NZrpCiPoOcjm/RyTEaShInBZUE8k2iwCtQij
WQe35SJpdtSaLGRf1k/ouyO1QiPjjWYqItaR7ZpnmQ+8fs5Ltm6G7RP/iq6abVwm5+dWredqh/cB
3nR2diHbuyHGlj6yz8v72EWbp9ZK2lnExi9m8xcU42FKkneDjWBQ8ArM1ZIwVOvCiUxrl/3hNIlV
phaKFZvFMCn9QyhTZjhq7RipBWTXZ/terSSdAZ1sypZSwFDw2Vr2an1phw3Yswr8kVptemrJGbHt
TNTa0x6NJ833X7xJO+V1czIkYj3awDubArcUO1IqCijvOVmdapFqfOxUM7VeLcsY0yDNz3hWQrH4
TOx1BFY+uErVarbXjIOrlrUjHnFNrW9tixt0sp11pla7hG+cwltl2cvWN/SLcoPb4DkPJBvh3iWt
PVZr4iHQ51WjVscNO2SXXXKYpvuW3XKilsxCrZs9tXjW1Ao6/1hGlximpYwPzKVRv/bF2lMra7eo
NjSE65o1/KyW2hNq+43RQqNze6CqbL69xuV6BW8ww85MOZ9nbMgN1P0pG/NWNPZe+9iia+zTUdTe
6bKRJvFNZUzLmntTsg1RYZLNzOo7ZkzTuN46Am55V84GMD1/0MjlouKx772s0D93kMrQrGoOmexV
lbNpDgHi2ZiilnZRrEBsPEYsr9h/hj6vfsgOoWlfyzyDWJBvsAQU8GGTNYOipT5gCQVdKPZZXybb
0ZqLE2yF887waOWxyz8kZiQAierOFj7DYyp85iUBKv9YqyWh682dFjCEmBVvNgjJQPfFdGrN7oWH
AQv+PWGpMxDFKPIS4kFYnSeO+woyokMDE9+3uhYx5na2M+mOe5bXPjLYBBekeUYQJSIiue9D8sJS
/OXpmsIrIvsVtedl7dTJWWMFfFYOvKgsCShBxeSuc68IjkaNgSSh911FJLEQjUvl3xVQeCGnyZNB
+uLSnAfrqR+S/CZDBcIWuRnuGQYN20aroRWHZnfU7QYwgDUwB8FAiFLZxF1CqCS5KsIvnhsx35eF
wx64z3BY2Shiu6Pd3tASgxJIjgSx8CC56bNIgmOLKqkwtIcgj/G41N5W1qH+/07l9c16909L2y9e
LqxeaqV7WUR5e0MLopRx36x9/6X/6Nvd8J9/0Hdb4Feksa3aKQdRkX+3zbV/7H8/ftLHr/JXPyF9
5jfu3lgwC9ilwkYFSIcqCWRVC1jGDMFvXzbtT+x/dYoxqjfnS51GrfjNFfrzr/7n1ff/2X/z3R/w
nyzCXbrt72rYf3Idfvgx310HSBM4ybAOkx1Dbfr9dbA+6SZGeMBCLKMpmVEr/orXQVLi/vR1cBhw
gKCx0WAyBPn+OtifDBN7MzoURiCIA7hMv+J1cJiJ/Ox1ENzxTH88A2Xrh/Pw2+dCkBlkSINUIISq
v+Jz8XVE5v0o7v3bj4b4BD6C7BxEuVIFJHHvf3sp5CcgWA5tHnQ9MhrVHfMr3hK//V5/CHL+9nVQ
5lHWiAzf8DgpRcqP10F4HrcEl4lu6+Mk/SWvw08flc4n2NgMH+0/omy/vR+4TMLS4VQjBP+NHvJr
XYffHw1+wZ89JfhbDZNJLIknUDRU2sl3j4bNlEPqRJ2bElAdUvZf7dH4/VKQ2fKzl4LRuGQwjljr
64n47V0hPqkgGcWTQR9mMXf61S7FF1eD89PXwfkEysbAnI5mArP5j6cEYXNo0zgxqSLwjKsv/1pP
x5fr8F9xP0APsk0M+oC0PoSAPz4ajnQoOv84TH/J6/Dlkf2Jt4YKWKJi0oXHy+PPBbb5iZuBA9PT
dYPQAbVR+hWvg/zpgoqjksmty/aMv5ej94e3p+ClokSoJE3JX/g6OPRHfD4/dT8ITltm3/ii1HSb
D/zbc9IhSwKxJxGWqrrmFftr3g/qTfdz14EXgqdjLUBFzFmJ2ev768DO1DZ4MLgUHJUfeZ2/1nPx
x6vzyxH+c7eECW5NsCeBrsZW5PtLwa5E8U8Yp3r4OT9MdL/opbD/C05L738zdy45bhtBGL5LDkCQ
4lOLGPBjEYzHsDEOsqcsYsyIYxtSaMCzcja5gI+RfU6g3CtfNR8ixbZMpbjopS1NN1nqrsdff1XR
cRsxmES5xaHCsAZ4VCm8c05No5XcgyMaeEB3JCTy9H067SVTbUnFZYgiJXkmzkTqrBwWgCMyKg1g
PMDIiKH/n8FTgbdGmxKgS3Fn0+vZ0auRLqElUAMpsSfThsCizkQResQXobTCJi/aaGeX7kWCL0wF
m9qNSPjF11QbRyk8GnzsM7MRerDNozTkg4QaFDLETrpT6QKKklxSxPVPiLWFVDS2GcToND/3wa0C
SJjmY1cvhjrignlF+/ksXeMxibPAGRt6VJG3WqMi0JYgeg2i6agoJmy2qyEqgg1IaxTVx8CTDRY3
FIXEImHmE3hhZFe06HTzdshwdn4infkEjKBEt1eHQzEEnk+9OfkMKt+Mn+GmGPQmAyoNJEUCLnGY
CK3OlETkSQnfKqOFnuM+tqh57YlAS5LeYUpDFImNHCsJ0CvpEYGvkRKtr+Vjt5REA8skC9wMgOuA
AYeglmKRMUTDq5F4iAcQmzCc2Mt87JYc+rArWSASlzyXT4jZ+I5nkXjoSSQSEGfAmnQ4El8i1gjw
GUkCU2t6DmGDV6JCSO6AZgYMnXTVoVrgYgivO05bWEaAl+HFIBEOBxoPmzDD7YshrVC1ujJFDDGu
AlYSSO7MoQo9/Cnoo37mh+JGOKorpdm8Vg4CywBPgTiQ8pfus8Mjgd8ZAfLTWL/hqTb7ORR09boy
WsB8ArwQdYJiZxCH4zOzkXormjiS9pPpSlQDOofL9KIIFxBFBkMCJ9qmLsn4xZSOJODcNMIiAHXN
jzgJQn095Edfi/lcoyIaDsTwekRevIqbnIbB8Rz1I2RYhk5NkNkAyacDPt4CQ2vP1WUEw8pn/jPE
CYJ1047aUVFMGnhfHX8CO5DgBaej+wcIleBQwyORIKmIfiFAEhQw0b7btdvRJj/VOgKviRlzCbFE
OyllLIeVhwsBlSwiGkFVtBbbIcvRRhtqlCqlKC6VBCe5/3AFMWAsB2EWxTAkwAZTCTfcPA764BMx
oBiIIghALaQ6yGS4EZhNksAkgl0FLbPmuipgGVEPIA7ChJnohsAj20ETcB/0ysjBtcNgrXPSWg4i
cIGzCbsIRcVbGKrLwMsSDg3kIX9FQjhuYpxZamLGl3qW8vP3ZbU1JOayONhozN/7QgfRTT9vubum
Wygc5dEXpbNVs3dhiNPy7ycjYq7hFw8+7PjGZp/2z9sXnG492qt7q+4/f5F+WPt377+YD760jylN
v37+6fh1O2tAqaGNnZ5u0qSrPxKXNnuR1/c5TXGqw5DP3TtnQtrUbsGsyE357195t5L8GP0G0gRV
u8HN8dsu31ysDTztB8qv3q+okNmM+WcCnGo3O/5T7OZttsCb3R7//jyvSl1skfbVXh3/3NefZgxi
EYhNu9nrKi/nDH0RH0i7193x22Oxm7ObBMTq3a4aaNyruv+nL97mVX65DLe/ahLhat/tbV5Xu31+
+GPGvGZpGaje76rRhlpZXjeJSLnb9U0o1BtWu5HSPznz2p/prry3rbzAAXha0Z/2Q9GdpFObcZm5
pH3sHzTCVMr7eXEoR1a8lTfesvbBX+Xbjx9sEscT1K7NxKQN47i6hQYSX8B6Psurz+V0aWFXa5/7
tt4+WkQixEzt0neFMR/dQieRSMmLdvGXqNMKj6JbabA6YbZ29Tf7oqxsEl/gbtp91eaUS7pI++xP
Gfq1z+tdZTmMgiRr1399v7etvMAdui0fNvmjTeyL3KH6YFPkQs3XiuTFx01hE7dAMNq1cVW2tUUh
Zgsc85f0qbXaIOHNax/813pXP9gefIEzfmmIhtL+/MZ7G9ewk8BJswhio5XKbVl8yn+3qC1h6WgX
v6n3D3i23ULmyU9MQe3qvWSu7F2j/EFumjh1+FICeCUxeRJTAQX/X4iQl1/PBnD0lddT2KOrurb9
2RjTkW+8q4p8/+Q/AAAA//8=</cx:binary>
              </cx:geoCache>
            </cx:geography>
          </cx:layoutPr>
          <cx:valueColors>
            <cx:minColor>
              <a:schemeClr val="accent6">
                <a:lumMod val="20000"/>
                <a:lumOff val="80000"/>
              </a:schemeClr>
            </cx:minColor>
            <cx:midColor>
              <a:schemeClr val="accent4"/>
            </cx:midColor>
            <cx:maxColor>
              <a:schemeClr val="accent6">
                <a:lumMod val="75000"/>
              </a:schemeClr>
            </cx:maxColor>
          </cx:valueColors>
          <cx:valueColorPositions count="3"/>
        </cx:series>
      </cx:plotAreaRegion>
    </cx:plotArea>
    <cx:legend pos="r" align="min" overlay="0">
      <cx:txPr>
        <a:bodyPr spcFirstLastPara="1" vertOverflow="ellipsis" horzOverflow="overflow" wrap="square" lIns="0" tIns="0" rIns="0" bIns="0" anchor="ctr" anchorCtr="1"/>
        <a:lstStyle/>
        <a:p>
          <a:pPr algn="ctr" rtl="0">
            <a:defRPr/>
          </a:pPr>
          <a:endParaRPr lang="en-US" sz="900" b="0" i="0" u="none" strike="noStrike" baseline="0">
            <a:solidFill>
              <a:sysClr val="windowText" lastClr="000000">
                <a:lumMod val="65000"/>
                <a:lumOff val="35000"/>
              </a:sysClr>
            </a:solidFill>
            <a:latin typeface="Calibri" panose="020F0502020204030204"/>
          </a:endParaRPr>
        </a:p>
      </cx:txPr>
    </cx:legend>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olorStr">
        <cx:f>_xlchart.v5.7</cx:f>
        <cx:nf>_xlchart.v5.6</cx:nf>
      </cx:strDim>
      <cx:strDim type="cat">
        <cx:f>_xlchart.v5.5</cx:f>
        <cx:nf>_xlchart.v5.4</cx:nf>
      </cx:strDim>
    </cx:data>
  </cx:chartData>
  <cx:chart>
    <cx:plotArea>
      <cx:plotAreaRegion>
        <cx:series layoutId="regionMap" uniqueId="{EDBF0425-BB13-4354-903F-3DBA29F7371C}">
          <cx:tx>
            <cx:txData>
              <cx:f>_xlchart.v5.6</cx:f>
              <cx:v>AAR pēc reformas</cx:v>
            </cx:txData>
          </cx:tx>
          <cx:spPr>
            <a:solidFill>
              <a:schemeClr val="accent2"/>
            </a:solidFill>
          </cx:spPr>
          <cx:dataId val="0"/>
          <cx:layoutPr>
            <cx:regionLabelLayout val="none"/>
            <cx:geography cultureLanguage="en-US" cultureRegion="LV" attribution="Powered by Bing">
              <cx:geoCache provider="{E9337A44-BEBE-4D9F-B70C-5C5E7DAFC167}">
                <cx:binary>7H3LctxIku2vlGl9wYoXEBFtU23WASCTZCbfpChqA0uRFBB4PwLP1fTm/sB8wV33/q7G7kr9X9eT
ZIpkiqoplYY2NrQxKysZAQQykAfufvy4R+S/XA9/uU5vV/UvQ5bmzV+uh9/eRcaUf/n11+Y6us1W
zU6mr+uiKT6bnesi+7X4/Flf3/56U696nYe/EoTZr9fRqja3w7u//gvcLbwtlsX1yugiP2lv6/H0
tmlT0/zOuRdP/XJdtLlZDw/hTr+9W65Mp1fvflndZDr3dGNqfW3wb+8WbXrz5R/hqvklL7rVTfPu
l9vcaDOej+Xtb++eXf3ul1+3P+qbaf2SwsxNewNjbWdHCNumhHKJbUQlfvdLWuThw2mCd6SNhSOl
w2z4H5Kbjz5cZTB8PTEdwoy/P5+72axuburbpoEHu/v3ycBnk39y/DvfjG4K9/47c4v1/Jfv7x74
1+eY/PVftg7AV7B15Als29/Xf3Tqj6J2uobs976aH4ZKci4kdxhDjEgHsHgKFdvBhAgkmO0wgoQU
m4++h+r0T+F0P2oLpPuDbwAhtUq79j/fpvgOsglYEycOxYLaW0DxHSooY9K2GWP07vS9+dwDtZ6U
3mD3koW/bFEPw7agejj6BrD6m56SetUm6e2reEGbSI4dJjH4OoK3ELN3KMMO5rZgYGI2djbw3CP2
OLXN8T8O29OxW9g9PfUWAEz/+Y+kyV8DPr7DMCaMMio4QRzR556R72CbIsoIRgSBWW55xr+l7Xpe
fwK7zcBt4DbH3wBqatU2yesQD8Y5I4JRh3AJ1vccM7ZDucOp7QCiti3WPvS5k1xPa3Psj5vb/eNs
Mazf3m0OvwHA/taG//w/N6s2XHWvAZu9IxkwDIwQc6hwOHkOm7MDcY1jKZF0HH7HUZ7C5t3Nq9Tp
71LYlwPc07FbBvf01BuA0Cs+3b5WmFtHOIQQdRzwhlthju5gyiHEYb7mJ5yAST4D725am2N/3Obu
H+cbm9scfgOAffnXm9U//9+rMEmIa9gm6C73otx+bm3gJKmDmMDEIQ9x7ylg99PSvxy0ub7W5SqF
lPHH4Xv5LlsW+PJFbwDaMx1CjvsanhRYCeFAKRFxMKGIfRMABVAVDl6UUIcSAYn5U2wf5vWT2L58
ly1sX77oLWC7alPIKRrzKpYLWQSyBURCxu9ThufJuk1szBwG/Gdt1c+g3UzrZy337Hs32gb4e9e9
AYzdL//WvAq8WILWYkO4lOChtyOpDQmJEAI4EnHuQH6OsHvb6D/BgB6GbaH3cPQNYPWUxt0bxEsk
4wdVM3tHSEQFczgDQYY4kLs/NURnx2YYpE8hKegxjtjKDf/YlP4rCetz5fOptPs/VP1Rmn8tjXfZ
3kyvQQ7gtcTADASxJZAEYOPP31q+I0BZlFTeCb0gezz3L3ez2hx6yYZefmEfhm35l4ejb8G/6Nu8
0zdJW0+32WvoUIAaERzZNiS+hAoCsDz1NXgH6iug91IiyZrUgUz1NO7P6+KT/uf//hOqxuPILewe
T7wB+E6L8nWyLGdHCogMErCDSP5ClgVEHEOaxaljQwjZSovvp/WzXO3lu2zB+fJFbwDaeZt+un0l
aRgLzAh4y6864lOTBIuF1BpzkLOoZDbdyrIe5rWx0z/uSr8O3ELw6/E3ANp7cF7NWst7jQoaBaVe
QubEbSh42lukDe8IBzMBqgciEAPtrfD3OLGfUz6+d58tTL932RuA+Mv/vU1eR0d2doDWQLlGQqV6
zby/UT+IhLYDECOhMHdf634aKh/m9ZPqx8t32UL35YveALb7t+kr1QjWThWUZHC4giIot4FTfepz
6Q5U6KgjMUMO2dI+Hib1k8C+fJctYF++6A0Ae7ZKb9pXcMrODgiVAoFfhoh6Hyufwkp2oKcBCq0S
QbvUWtjaRM37Ivn9rDbH/ngk3YzbQm9z+A3gtf/l35LVp9cJpM4OdQQQHArV74fOhaeYgTgiBCSY
yIaWFLDVrUD6ZGY/F0m/e6MtVL973RuA+fTLv023ye/3GfygtrVWCcCHIow58Nut4hC0GVG51p+h
CQkjakOl9mkIPb39D2fzskrwdeAWdl+PvwGsDr78vW7L15EI1h1868LAfT/llrBDd9aZKIY8kwPB
/UbYeZjXT4bHl++yBefLF70BbPf/+Y86W6W/K7P8sB0CmgwaMzmCf77RmOmOA00TnMIJB2Hb2bLE
/fY/nM/Llvh14BZ0X4+/AbQW9Ze/N+lr5SCIQOYhQIpDdC39POep0FVGmURQx8P4oVviqQNdQOVw
PbGNW/3jlOZx5BZwjyfeAHJLfVt++Xv8u9/PD9sZ9INBxviYOzwlM3gHMZtJaJGGtrJ7OJ/itZ7P
6ven87KZfR24hdbX428CrOzT64irfMcBGgJl0rV+CgXRLSNjO1CY40TQl+tvSw3zmvSP29jXgd+A
9nDDNwDa+1Wa6VtwQ68hwEHbCeRxUGayX1hrAA3RzrpVDOQbWDMCFHQD0H2ut5nY5ugfd42PI7dw
ezzxBoBbfvlH9+Xv+Sv0JUC+xzFghhBhbC2wPA9pcBocJPQtQI8mAU+61cj+MK+frWV85zZbiH7n
qjcA7ybTewW7hIwP+tsRqOJCcEfa33S6E0zhKIKiB/hcvl2qekhBfzJ/2Dzf1m228P3OVW8A34PV
TZG/hteFxXignGLJoOVTQAVkC11nB4wailXQVQQNK3ennxKc+2n9uM/djNvCb3P4DQB2FMLqw//8
IAk1DNDWbDDGux6NdRfGUz7KdsDVAkoUKowvwLWe1I+DdT9qC6r7g28BqHSlX6UMvC432bCUlQrI
EKAvb6vcRKEDAIB0kECU3DeJPbWso7tpbbm7+wv+OLV58SbbQL70QW8A1/NV+jpdmBTYqQNcBhY0
YGiSfm6AZAfMznYoAzbkAOfZqjWtJ/UnMouHYVvIPRx9A1gd17f6y7+/CjddN0dBFyb00rBvF1mC
iQKWsOoLShUPLW9PbXA9rfRPwLUZt4XX5vAbAAxSo1dZocd3OHANqOlBiYgSqB89t651e6kNy09g
hTNf05FNLPuaAv6Z9Xl3z/LNUqGHo28Aq/M2abPVa1CRNRiQ+EGvqFgvF3mOFd0BIsIFAmcIHhOM
7zlYd7P6Ew3pm3FbtrU5/AbwgjLz6pV6nIDsw3YOiAOh/7Z4Byu7bAxLKGGFgcTrmsFzwB6n9XN1
2e/dZwvQ7132FgDOdGpeq/WQQV0d9DF7veYcr1tdnqYHDqz/YjZ0JjqwCBrz9QLop/Hu7GFiP8k6
v3ObbYBf/rA3gO/7Vb1Kvvz7a6ltDpFSQqMT7A9xv9r5OcJAStcWzqGoS+66GJ8i/Di1nxXcvn+n
LZy/f+FbgBq+3DtfvTGkl3KzH6w4QQ0QQX1ivafENwaMd2AltUCw1J2TOx1887kPDOiPTOflitPX
jtJvmdDjTf8bInb/9t/D8mz6f2LXKptB24sNG0S80IoGygvhCKIngn0lvt2vZbPN1ven8zIsm3HP
pv64a9fr7E31/X2rvu7r5a3Myr/bEOzJ1lW/f/buAWEXs62hDxHoRcO5/7b2bn57Z3HoK4LuXUyB
lnzdbmx9q+cR7Ct3eomkfHOjW1iI+9s7wqCniYNIA6tj131p65a0/vbhDKyoFTbo2tBlActrQB3N
i9pEd7uYScJg/x4JZUYIp+tdzJqifTgFSipBsIzaAUteb+2zefbjIh3DIv/6RT38/UveZseFBl8C
s6Ho3S/l/XXrCa/dAF9vBQTToDasz1p3VZXXq1PYJg4ux//LFuWUJHqkHmhMrWomXKqpr7SXxl01
11FC3nPbWo5NRU5sJ+j8LpqImir7tJim/IqUvTmtgkpFcVW5WdxetFN9kPbBrkiyhR1HR8Qarhqn
uBlZGKqwRIcJDT9YibXMC+TmhTXTuV52muyakh0SgzM3H4VroW4PoVJJduPgYQ+Z+owxUbiNPS2H
oZhNRiwFfHQrmz3ehnOSW24Vkt0yHhUpHTcKOGxH98kOGjXq/TopfVQFKibLygm8aUwTJct4bo/y
tHf6mRjDkyE9q+NIdT3e58M4H6drkefLtA/3+xJfTHl9bppQsfqgIdNVmwk/KpcJOrTNTV6uUIrd
drqkEfOs1FISd8ekTZAKMJ/8nvZXLQtdEsnBdUwyzfOx9PoIL0Bj2jU2dwW9KvC5jQ+bhHkh7ZZB
go/SotDe1BEP9XzmjMadZOKzolBhqy9zylVaJYoPsWqRo5xI7spSqqLifpKyhdYcHqVVCZeKiFQZ
4rjdyI8zekD70AsDtOjDYL/q0nnZcWvXRGLaHccEvq4ENwdF3g2JQiZtZ2FVpKodnFpZ4eD3nVaC
6XNHf2y60RXOoAo8HcVptSvTcq+SRkVULxxzVvfhHrGoarLkgCbJMuT5cVLWi6iPVFRVKm+nSqWo
TVWi011LVlcynqWI7UYlS/w67JsjJ5myQmHceE3yuclSPyIHZWy8xFpZSbvHwuMwGpc8CD9EHZrV
GTxunt5UGfczg65HzPeC5lJEWXBUVzelNSjMmqXU9Wyo2ELK3uv7aV/T7iLTVGXMcgNthhkuzSoq
zHg4jgsRTPMhzbNZFsoPacXVQMpPeVBmqhfwTTCZuAkhhyEt51Z+aDXxoGpyYZj4jNvkCgcjngnT
ZL7lhKmaCiTVME69Ym3XeWyQHiiBHpm0cmKzQEG1Sqq0n2VjNqqm6uScFOgAUeONVdyqHrF5LeFl
lmWqnm4i+MwtXBflWOswetjb8euffz0vMvjvblfBx4PrrSEf/7rUiS5vb/Rq+6q1S/962ePWhGsH
+nWfwi3HfL/B5MZz/cjJH3PpsJT991z6y9t8fBsZ7m7z6NChXolgQSSksfzObT86dNhqBoKJw2EL
So7Ba28cOmyOIWHMQ5HzjnptHDrsrgeNdFD9vN/yBJMfcuhrZWTLocOOb+DPbdhG5W4bzOcOvQ+p
6LOkZl7FQy/AhW87zmLoKrcsQpfajYKSwSyWgUrSzwxdyzpw4yhXSXmLrcINqtRNDfKHGM3zrppZ
HCtjezm9GYvjoQ9qV2S5R7PGHUW6MEXv12OyrOhV5sQuj7JKdbxLvaKXlybuG2XnaL/op0XcxQdW
YPxugEhDJxXWo5ps4fM43Sdpvo9557eyzfzGAcumodu18e5k6Kqk8axKj2OE/SbIZhwlnp1T19bJ
IZbhgnWFH6Xcz8fWq8eucEU+uWM8zQbau+GAPjhGuzSaTzVWtAzdHpdeO4b7ppln8nCqcje2T+PQ
3mvTXdl0yuRXYcZcmtmuyeh03Ftg/U2hrypk7UXJlV0OfsfEaRTI/XaKDmFXL59kqXVh8jTJ/aoS
yzaIlFN0LmwnNUOlnOVhOQ+cygvKWcC5FwfHSOp5ZLhL6o9FkC86Ep1w2aushABsFR4Nlq32ehge
MKIyGamk3R8i+yROHDeHB65qplCp5yRCfgNuL8RmMZSXQdp4Oedu2RE31pd2vqeL2HN0qgqaeQGV
Kp+q2ZBXLumWgq+yVqhYhIBkDrifhLLwsriJFSEYHiCYV9F7OtWzKT7I+M3Q8YMQt/MB/J62pAqG
4ZwGtl9aDKYazEM5qqiEaRMf2ZXX62QmhTnqkmmGssOaNbO2uQ6KyjeUzVgF/qzJQwBAFIcFC23f
QeG0i3XE52PauQhX4GsPqEEqtMbjSha7wJ0teCswdSMchV4DvvCUBUkN4cSU45kIQnFKW7u9xWFx
UVnD4Ti0RnHdeiyuV05cC6VZNHnC1gd2MvgOjmdREniMrgIr3ivSYG8aOlWUuS+iUxSSGU/O0mox
Zp2jRM/0vIZehdiraSy8ss47l1c3Ub3CVqiSuq4umdUd8qaeFJZ0HgWJO0Z4xTXonP/jrkEShHZV
Bxjw9+n3g2j+6JwfBz145rtmIcijEDSSwLqe9b6ID54Z9i8B8s3A/UJ3F9B80KYePTNQbdj/DRZ4
wf4DIDo/Um1IlteJAbSEYfDz6y2LNgHrWUyFtOPh76dUmznfUG0CPUrr+ABc34GWJkg2nlJt08gu
kw2zvCatrcwNWXs7oMh1hrIEcqVP0qnyrcQsp8gsLD18rOLuJB/GBbfjo6zpFm2R7evY2eUEe2OZ
nBbI+jgVwz4L0wUxoY+b/oAPQ66yJiYuTW1logboPO3fW2EolN2Vc01N7gJ1127X53at2jD9UCC+
4oaeWqV9K0K5EgSMqgyLM9PSE03gldfTborkHs4jvx70oZNCDlDRdjlw7HM8nNlx6pGxm5GimJVa
qjBlxyTUBwXktGoKBw7E1TkvKJ3pGs1kyg8TlHopLg9pLQ5TnSzaMbH9ISnOLKc/oG26kkV/Suzx
TJLuqpqKmcO706KRfiOtRVOWS5qNBwa8bI2p3iNd7YVcrkjX5DMZAZFkw3saOJ4Uk9ei2HLLHgtV
he2sECYHG8btPmCk7IkfWQWkT/m0gprsklZAupspOQhYdFa0EE8slGaKar0a6sTFYnLznkaQVAxo
2Wd57lWN6DyR89anrBEz2+L8spMQPoqkdZRB1uCyqia3fYjFRTMQn4pmF8XBx5DXzgwW8TOVFWSE
mMVzHzUm8oBf3gDzJQoF9jwcs4+RQw+CaRLAIIujAUnLzbKcqNF0B7RG1VLYeevnNl/FESQfUxPt
WTWv9m1nqHYRio3b51HsxmlXeRCbxYLnkh00ohg+yd6yjkxhrXBEh1lWmtvaCj/FCT2K9FirSaBl
UCSXjUH5sujypFRYWIlwp6powIHLadGjgey2NNprqDRAJNiSTo6qM3ZV2E7iZaQ0fkMhkFLaVMfd
WEu3SXEKPFg2XmeJMwyR0TKTC3w8Uy2JF/E0GRXKJFIDEC2XhyXcoL5sksofTUndKQxiP8HJKYOg
QGiMZoXdWcrJCpfkjoL3hahiIhfcGmrV0Kjyp4jU/hhCOEkZxNx0aTpnPmTOXhyPgcqC4H3Rl7sN
Hc6nIl6YuitUkgVuZvGDsRAKOkdVCAhFid7rpuKwLZqjIW1mILP5ceW4GhfLXDbHQdudRqUolUjp
cRgm5xPE0or1VAlhndU4wAvHiQ/6Ql/ytr2x4KmUlOYCWo1L1dKOQcaatYcksio1FpADRE3dqyCG
d0l0ebTLreYDKtmnRkahkrZp99OpYK6T2oFnj9ZF0kZnpofXpItry8+m5BNDwQGO8KwJ2Xnp4FqZ
TEJuPQUXk93mflgWbAnZcjVzcAG5bSXbPdhfOle4KRtVWHTmZNHgwntzltntUUqGT2zoLvsh7m4S
1t5QNN6KJEjmCUqqwzGOz4KUlMDA8mYPKGXh8iBpvVDWkPjHPAUaxa5gm+/zAJZJe2UgVk1c01SV
U4h8llu1IiYuPTrS0WddcCLy7EZyuwz9tCkvmmxq3ZK0uwlt5GcUo4N0wrtVOLp1x1olptAoXdEP
XZcchBG/5rEdqsqho6LEXgEBZ8pY+rrvsg5sGpKwVAazjOIr2CO+d7Mg/AwG4kcy/WByp4GIbpcq
cbrLnIcX8J4cE91NbhXL08huFoUlIT3umB+jolZRHVmqn3qhHPh6dEu9Psw7JbvEt6am9Tptjtuk
vqmTsFdFbJWq6eWpMdPM6CD1HJTHKtS9N8YsV3oMTlMU517Yg6xCZGnNddcfJEl3zRNxxCp9rEd8
nOku3BVBdcwm/lHkze5498aGn60RfTAovbCG5NIZ83lWhLGy7cbrbXRuypQrgnPm6xxlKq3bMyfI
FqNuGy8pUuESal3kNI9cEAUy1Q0wFoQz6WEjOgV1v5vAEhCDLNAJKD2I29KoNkYGQkueeqLtBjVQ
eVHUkix00V4Erbwu4uCEw3LNebV+WOD514EVDIpkHTx1qT8UgxlVuX5dQhkvWZBZ85IU+1HvHLMk
Ox+p3C1IB8yYN6DgcOJPJPqchvZtRtCyLVHoctJbh6ZJz2SSaTfIHFWMtD+OenNeS7uZ46pvPJky
e78c09MmsC8Lal/1jMQu5T33bDTEbs6nkwwiqMIdNUswg0bleXyShAkFhYUMqkJd6bMQAiqz4mU/
snh/HGgFGg+kC6HYw5iuQmldxzFoNEKjCyt13DHPPslU74JmtXAG+2wourNXyd3nt8VaxW/+G6Tu
97SOQ/L8fS74bEOotZD5OOiBCwroLV3vTQTNOY6835T+gQvCOtL7PQo3DHBduIYWVdBB5d329bCE
cZObQ02T2nAWtkh/WOn2AwwQ+vO2cnPYHh8q5BSWaMEe0bBJJnzSUwZo5USLeooiP+7AQZTNtFty
fhP0JcQu05l923LAP+ejR9lUgzDGEehJIyR8GIzFYfEywgHQgATVqgoa20OgKSqmbQbmFHzotXjf
6zFRU5QdSs0/N7W9aGHxu9uEqPUcOeY+TzHcM56Ya6DjWhVOWRzbZRmqcsgXqJyQ31aJVyZ5kqvK
Kq4yXEBGW+tyr6utAyziYL8Y7HaRSIhNZoKgZWXjoEptx7EqHQ0+t+vOhEHLspfxTRaQWvVlXvjc
sNarpvFTM3YHbYes3bTojpghi37oDpsxKnazgnEPTQ1oyIVUdi0D8NQwjwTzs6ZCIEY45qQC2dOr
0rhSIuv2bcOkp1uD5yB7ZHs2KkGnjCYGtpsewHdV+E2JB2WLNFDcxonKxvhTV9TtYdEj7NFqWAXA
DmsNOupUiI9BOmQqS8b3ApeJB81drsW61CdFni6jmncnFMVsL0IsU6hvkEuAeaqhmo4sDrpmVvc9
Vy2GPTqrCpJoe6KdB2T2op+cwwh0XL+LQ9AOEyv3mbT8Me+1ilMLe1roWxo10rUGeaxJNSo+Dsyv
rPjcbsfMz+B3VHxNgfU5uhmBmoyHQwWvUNDzzDesMTMUJMeah52fZaHxMmD3SsTjp5HaczRRpjSy
E5UO+WXPJAi6qIdXSAwnxYhAaAeC3gl9HNVCAh+qqarrOnRxDfIuMc0yMOM80NNyKpvE6xLLeMAg
iTtYEPLDqhpdGejWHaZ236lyeBm4jA8r3h0mMSlBEKeDN4kIZs3Ko9Kk5ihDyVEs0Rx1xCgZtcFM
4jaa27Eg8yKVH0aq5zJDJUhW7YVuIBvJoooovA7b0RCd9CHowlltVlNSXlW9PBRTg1U1BUDUcAw1
ip4UKrXg1RtrcZDrcLjiNVI6K3edMGezCmVX49inSth9N7PqBCtSlJdmGPtZbiCXKURwCb9dAkWC
KHQneG1iGmm3B1VG4hRiI7xlJR1BL2j2cgLGY7HoJB7SGQ3M5YjrRZzo/WCoPw9O2qkIzn4Iqu49
CyG5GJLsDDYBOupL51yETquCPPanAmOflLaHdRKfkyG39uwYu2MAolUD1QmP0+xDNYglENvjYkqx
ElTvFzxVUYTO4nEIVFEYP6DjkmpzkUOpEXSf0s97kn4MWeUOFSjrKR4aV8ZltttaWek2rQWRfwSh
y2nOOgxhLDX9bT7iQoESdmngY1Gb0Dn8xM9hkfSJ63TJPB2jXVJOH6O0+JCz6GMlzFrGDwIvs9gJ
vAKlKuoEiIshmZKZuY2ZPLVkbuZB06R+ynE0DxHo/1mBbuqeLmJtgTsc2VE0GOFlo56O6truVQ4s
xYW773XGRsqyQAHXQwjmggeuRN4ubMeyVBnXk9vzpPC6GNynAcWxajJ9GDvRNKvqpna1TPbQMPgI
ahG8ogdDTRuFbLMwfIpVHsSeiHXmBqkBpl91B9B2NhdWfFREYQkvGw1VUDdeGml/HKbztIwPZc68
EZm9Ju6vwXODRCr9Ie8XZVRFkPWFkZKxhLJKu1eNI3eR3fqypsNuW7d6PiIo7UAlcrhyRJkt41Aw
186beT5ZpVeFeNllA1Kg4M1Dpz+zqK4Vje3+rBTjAhzboU2qo8kZr6eRHqatBrmUJyqSBN7ljhKV
RM2tXYpa4UDfjml2CKoY6AGiPByjkqu4sKA0lB/zSXsBp51bVk6hgnH8bDIGTNogqsBPaa8y/aVd
A7PHkZtgAa7ZdlQSBOUuL7mlUjNk78OmO7JNN88beSqs7rOTk49hVN/ENMvcInQuJVReZMT2nDb7
zIV10VpJPmul3HfG7ERn9ScRmxJehDzaqxFkHN3UWT4U4Ro3SMZ4hrQ2Xgk6u++EDO1aOPpcjOCb
dGJlfo0mpLJpOAPv4sL7ha+gjlosbWxmpZPLfYHMYRyVBw3NMCgA6KBh5HOc98I3KTriY3Het+M5
8PBc5UKsxMTRvuGBtYtjdgkOmsG7jy85bg6TEJ1LYc0TsMpdg5zrjASZSobKdxIyB4d+qaco8bOY
nUW4XZAw4OBxQSKsxswVTZarAXX7xr5iVbAHVh+peLIhMeTArVExHA4MvoSg1xdB3lGVJHwFHOIM
U3SUWsV7KCnNQSDy7b7ei7N2PwmBu6P0ukJQRnSGHvJd4TdRnaupRB8NeGjVOAOoP0a6CI25a9Js
vzLhwWBP+dyQctmVkFckdv6xbODVyOPKLEUWLTMNQnkeBi5vqjnrIHWN6jJ2yTg17qC7j0Mjz7VO
/WK0563sTrOYaleIvvaSvEn2KsYPyrLALs6zeW9ypEB6+Wgb8CrJWNFdHfe34GvAfuu4cpuu+2RG
CtGumHVJhBTn1hn0xZ+OQXtkMGioyBml6zCo8Mb7nCcuKt6nw6D62po5DU1dJIajKerYnKUQeE3U
f7KaIYTiA9AIrOcYZchr4OFU34UOpPAFlAsTpto+69287APfnlCqYgteiGiK3keVM7lh29gKcqpk
lmXa9kJdQjYhyuXEJuLaErW7rU5uLCn8tqyQT1iZL2uefx6sdhlCrzcEaOwbO7+sw+B9XJFGBSk2
Hiwk7hQzIG84wIO6tr9kY3lAi7WrLJLSS0rnIOr0J+A7k5e2ReTm62woMmRm1/0n3sv9Ag3nHZQi
FMNlflLWEnSOsGo9u8jKPYSD3i1ob/ZiCYUca+D6RIcJn9VWqUEBSStPjyD/pZGAam0RpIoaOvms
yZdBl6E/IU4fbH58bjvbeFon/E7F8b+ulnj99LfrNq1Pd7kF+90a4qaL5okwvR7wJA8hUC7E0DTH
oMz3VZJGO9KB5VTrXxeBRue7xW+bhETsIAGdGtCGdd+H9aT7w96Be0ATrQ2N7PeNIT+QkMCmSdua
NIMN6UBEoQKacylMZUuTRklsRmhDcbyOTfMob8tFbaWxakg6+BY14QJoY7iwEEieWbk/yZORph40
C7ipmON6dAOzV7d7wViemiCAUGn7dp5Us7wRFvCFTomiISpucqGaXKtEdpEKp9bxcWsRt02r1sXy
/3N0Xstx41AQ/SJUMYHhlXGiNMqSX1CSZTGAABhBgF+/rX1R7XpXtjxD4vbtPs0h4clpnsUgbn3f
u68i9O4D+DrQXe/7LL080H5d8nXr0na9WFI0FJs1W535bFf/rW93J+vr5jAPEL5kTUdLk6qX8tY0
cWp7fzmPnX+NOHlyTfjWe+AO9BSDE+HUvVpnu2h8mlIeJOwckhGzornKGhs8fEnXqKDE7H6PQjKX
1Hpw25y1WKY4m32ZC5V8yVZ97uJz7/zvOljKAB/350+wCPy2XIh+CafhGGy2Bfzh02wjvHTq/qEN
/LswlPDA+n/C/TC932VDsmvcojSzCrve3LPPuhnO4fDVQOavhN1Byj0oSB6/2Y8wO/J5eIuipvSc
GeGBl/MoLsfAr+Rk8ti1VbiYzN/JVQWqqFuc9JvwL7OL9WZC2gbwJg9UfXAFq5LwhYyRKUYbw7nl
XS7msOpoCOWjv+a67LnItnDCPB4VtrulShzxOsrltbvEnfOvjdTt90WeAL9gxfxaEpovjT2tyDul
a85aegW3SMWiJiV++KWd5jBG/aHbzpEOrkFLkB/CvGtM9NaT5AgCuVpac9C+ny2Bd5wi/0F30e9a
5+dxwDIloorgqgvSncUH1mKj8sPdO/X4n+J14UUsl2xx9WW0MP2inT7yt0S+jC7PdySCTXfrozqr
Y3GuccprD79RH5Jjy+UxESJtpKlU8F53AYCRbbeFtmHWQWWRVn720V5GDTV5Z5PnsJ+88+CTUnhR
nLeL/tW+7lkHwYvW7WlHxD7cCe6l67z8BRuQR5HFRvLJHefIjf6eXmpVn5fZPA9Ol6sxhqPUqJwM
kqTad+Yy3Lt76qw/jKgi4DAZFVOpFypTLDM2p6lvK7+JH9hC+zSonTZr6p3nsoET3zv8vTGGZ5Mb
/JmpSwui4VnWu3PRZmwqQIhO1tJ2yEQcDeWiJFIVL5VbpQeZGQQbCJucdci2Seca1MCqP336R7Jc
s6923iol+u6om6i9c6i4CMRrxy1ROhWrtg9yTKajIxdY9+vY56xnv+GRKBEWXJ0ZYFQPYCmf3XW6
i/r2Bet08Iy1NXha1d0Srcs5afTDQljqTFOmEWBvTja4j0nRG543I76f/9ndC7iyc0P42axY8Rv+
vK6Qr7r5q9Vj41wXCA0JDUYTfuZBeAigxWOW7XKHo2Be6hm2ZcNTG7WIUn5GeC0OJEEIhqdZbRHq
FwpxSLs93dz+MpMhmzbvbsF7D0g63WVWe++bmxTWA7xQLLWtROQ8aW3yHgKL0k/mTOXae5nH/0qp
jvG4p8OKVMdTBQtYHsciJQ4ORwE0KGQ3PV/DATiFaqsY8Ti859RMJFvFkzuCQsKOoKMp76OumL0H
I9/DbcAV8MdHCIKUPNoBGOjnZT8PnGVQjrCmIf6d2y4f5oeZjZXTN1iQYkiIF0J17oVgMO5Q2ij1
7/rjkipqnEq4WBC2CXLiPvGbjCCi8OePxri41+wD3qasXWC/4Odra3+ppH/YsS62w0PjxDcFYG93
s6YVcD5+84tazDgK5JsczbMKnYxGpjScl9Pi56SeysElGfXa1Ce2y5ckeLVdXzoyPpmuhzLN254V
rLavwj3oESZC+DMH+kRAGuzzDDN+OJoFyyN04SzfsXYWdnprwyvkbNrhP5hSkq6cQGvZtr+L47Yw
cVtttn6tt/bGTXLs52L1Ty3/O2IviOpi72glKM2EJWAl3BTaMpvbJNPTnGEuZm08ptEMBW68tJZ9
tqhjv5wQgRS/cM0o3ra4fVosvDqvz3ev/hDrpxixpQvvGIaiTmMX0lYj5AguIMrGWlW61ZCbUeG4
WJ5+RiyMu/2Zl+7vyLvUmrDaoObc6HkC9LIYAIqJ9zBpNzWwQLTnZnjjU8pVivNkhsTkEUQuTpNA
/Oz+jglAQabZEV4OkqV5vjbdmsdOdxxn9dBtJDdNXtsQl1VFF6vS3Ut+Otp//P9ryZ6BmrTl2o23
ULtlcDftLRS8Q5bUsWzIRgafRQRxl43+6JVIEDJvM3ilmle9+yDVpoOdepxBPD4sIBidmj/RnlVE
8LsN9osJ/zD3g7n3RmypJ7+WBVIVM3iH+bn4YHnWr7l9lQsCx61OqYeTFM4Azo7UWwf56/Ck47Kk
W5Sp7knLNU84vUzeowi3XPSvYfeOO6gIZ8Q5y351hrI1R5c1x3qzcOnUF2+GisqlFAnc0QjBWfvK
FnFRLUDH1kvNJisbs4umH5EwmXDw0mIfd1YEvoXUiLkned+CmdzdBjxMmxIRYs71/GAjcZqMfxo8
RF/gXhk/7P5crctQinC5d2yQw98r4vA8k29EFCAiMbLoP4kjT7W0jGe/NNMCKWHfxSJhAk9pgJ0g
wT3tglcdEJ0IgzRiypUzHjDeq7VTlTXDoZ/DEmsFJBtiQzUchadhhOJtcyb+xfxKj/qDLkku92jM
lJkPtU4elXFBxmIGCQzGXWfwmy+dAj8gkp86sAfGnjrZ5Io6eSi8xyvZELQMQfg0s+SzsdtzKLuv
bcUF3rhjCX42a/CZAVfBk2qLyJgF8qmPcaEijDI4OgVHgu38gY6BkGRd3WRmXnAM6PUGn00XSuGI
3oI1iwj9tRLqUzRqnsrvvTPffRLUJdX0ZayDG0vG3OAKiB17EDswTsLoqdfmssoQ7o6rH+t2z9y5
aiyM8rq+9NHUFv0Qv5OhA8oah4cJiEBt6rzdCC6K9mmN5ZgCLP3u9Vxnyfqr5mKKpPbF68Z7qMdD
Le1j5DSXoE+ejOtm2mzZlGwlb7vzitNx13ejc1587wem9PcidRHNW7ZO9jRt5HuCr7QPHNbLjPNj
xHGwntVgQCfF78G2QeIgdz8tsHqGsAgbJVPNVDV3f2nn54nsy8jCCo3Ht5B/r9o/+IigF2Yybyap
jSnUMn6D1RQrrTPVnwMLq3qdM90o/PXgn4p7Y79IO6S2eegt0DQ5nNegvwzalCsZ7vFAwAbULkY5
7FRkxhofnZjHgn6w5Ecl6jL002HjbbEAfoYLJuycdw2uDYCCtZzOZH9tG5j6+KU9xJE1DAcc0rgL
5l8bKk34nkbMvwKKzgT+AjHPjDdUI5iqUT15iX9QxLxG0IcsYmDD4bTFaQRfwWzdtfHDbH0dmzjT
yXfbq6rbtnS222EfnVPtAJgJ4asPuGyevZgfzNgfmWtLwLyHHm+jiEVmtcYk7p9DnBsW11xLP5WE
c6OOe4DT1QUzAu2dyr7P+W7OInrq1SGKn3fkEBa+WuLJDLZDRm0Am/k3OVDPLaJAfGPZq/AhxO2f
smAqt8hmwxpkg7PkYzC8b5TkrP6L2/REAKvPe5etG1wtyPjGXx6SFfqBBUfpDvQ4iuHec1YwGx7/
xzc/72LzKHya1huGCWxsOJhQMdSa3O9InRECRG2dI/6wtqBw2pC3vwgEtAW6s6ewJ+96QPQOPLPA
gL+N1n/qwiFnjK4pcQ0uxf4lhuPDZkiRv0vQw1m7rzmieQ3pFXplAG8oSQhIO2D17NVfIUWhrVXz
HZod0Pn6K3ISM+LEBtSP1w5HZ2b9Bxog1d28rCHfkr8s0ZK6QwN6pCt33hyd+Bjg4uWYXnisYZM6
9eeyRFAagOCtC/f44I2P3JwW7Rf4mPCMDYDbA3ulwaVbYdnLc6Liu3C8jQ4/Emshuoas3dXjBo+D
RCzjC6QLP5otSbmzXnG1F0riToloNocUUbyXJ3bL2A58ymJnA4Jq2MtodLmDDucdyHysuJ5bZ80u
76N5zVqA5nu7XMUVbCOGJQYL5hBrD05Yn43ztoS/4vew7csnt306s/XYWvNYU/dCh5+6g9PHThpq
Q2GoLTgstPzpP3fcmy3+gnv3bFh98GlTNZ1IByXyScZ388CudQLsHSunp2HjLwc3xu3U0fNcq8wN
SSYhUsR+imCo995rG7YHHr25WJZ69iWQoy1cH1xFX4ADnbDU5J4C7sDLVvV3jayLSD66wDEQtMSj
ygb/7yTBCSSf0j1bFlcibXvo/nIvuf+MUvatEy5y/6PTcuybt1W/DtBglF44KgnthCCCvuu6KfYQ
E7tDHrngVWUiW4MYtmCXijCLgeOb5VlDNjvdnNY4KmbyRG2fbRv24MErXcszDcurn5PU6d/2kWMo
x7nbY6SaD0J6rKf3Fu9PF9XlDtc+YEm5oPuh5g3bUl1Oja4GR1SIgISTfGlw9l0f5VbuBZeHDvLK
s9eB11mI7oWds8BH7ecr5OCe3G/0tEoieebPh3afqqhtj0jryj3qC5rU18nbsniBXase220992FB
1XraaZLGHnj9fYFpu2fh/hlBwntoh8xGVCEEViTFoWkNlOSQLQu2nnm+hAmEIY4de4nlI20JEBeZ
hoiVguQ2TVE+ev6dSyGqSX+XNMnHCnTDMI6RDFMPssOCKIHne+fZqfzlYVe1Hvd1Lf3+1Qt+pn6/
WhGkPp+qofHzNlAQW+jcrBtDpIXYaFHd0Uum+041spxGlvuafNGufejJUBmGU3IjNGc0AOxBCCta
ET9ZYIEglSoz6reI4iwY8Qr2CKSGbh+zbdgepqjecq9LvHxbyL1ddek4418RvbTyt3ASJ4VyBfgK
do7JCH3ovLDe5iGlFTj0wqzixPyfaVMphGk5R+tDlyy3CYIz6WIwybwikz1spt+zGVRceAG2g8EJ
+x+HXxDPVd1iv9sSjBZyGMP11zZ4sJg+0xZUC4f+tvIBfllq/87LcYfv4mO7mhGddgp5Hk5n5f6N
6Yop1Z98C3Eoh2ONVyhNzMeGs9Wr41xhR0jo2UWStO9//T4udipOYFgwOz8Nrg0Hr9sgzwvW+pqZ
fEA6Ovn+nUPEG86EdLJHr4n/KTVXWzDmNIF71WlUUASaP8CdZnFuagTMy5qRgReLhxTM20+2b+6Y
fQ+16hCagM6X7+jqYOcZwBRsqQ66so5oUfv2eRfxsfGnIgB7E9PnPl4r8Knptn0kAQKib+t0FbP8
MFP6MK8cWUVXUtBA0st0rTGAQHFt4y2CG1RLnoMGuLZk/UR3GP6336baLsUGYCm6R5PH2woFwKzd
Pjdsr5P7GLvgEMlCD3wAHrA4oty2pEesC5aqlgUj249UqCn0yxjm0gl1RgFm2sB1ztcWB9yPXoqa
OMfncHzpom/HjoXaIDsnD68KCVnRKyyujbeLY5O4CHeJBevOL008/vODf36H/DTglwirtkG1R4Es
a2uG7QF7f7jvUCPRLbQTqmM1/rTtT6vIK1JoTAYw3bi9EQhnk+Nj46/WDYj4fDIj3KxxKMPtOGhk
8H3hmAGi2FZkdU47gUcZ6p+m7qG3g+PqndTkoNIFDQYzdBO3dgyeRh+dgeBpl4Daw++O02qiB3wE
V0Vi4OgBLWL9EQZjSniHqfuAh/48hrgPTIAhP5i8rgOd2hAgopT4OfqUhs4z84ayryFp+yT+Y8c6
T9gJ8XoWROq0dPs31vXU7BJlsuQZjY8R7ELk5eF6IePbgLHPCPK7+QKKxCNNiRX7/0npjN0bWk1V
G2DhdPoDlT4mMBQE/fLatUt7W0bIdQyKc3MEleiorJ33cg1+jL6GJAIvugFu8N0K2v7OTL+GLFa0
aH9n2J41ZL7riVzO6oh1KFXzo9dbsCyFxm+Eq+G2DEBOVWM+Ez6+1EQDR2jxZ8Ukepn49Op38+fE
t3/jtKT+hM1s7zM42L6MMyr+eKjeAZ6rRe6x+hc+KPF8UPAThxH3CpthZSBHBGh72qg9y1WnHoQH
bNhsoNObHJIrYpozvv3sdPx1w8roeAfPJIcwudhuuUQWFvVyNYJW1vUgaJGaTgoURPsQMACT7ZlC
AzfLGy9QvICcHiOaMtFfp+012LJg/kY+faenZwEajmKnFQHkcrRn3ARPYrt6WLb8hp29dtQoto1D
FnoaSACdMmAJB6/WzSF2+cvsoAAiKOANcfY43nE8YzWV9CuxyZn0SZ6M6lmb/nuA40M89STR0Qva
upivY/d33erKhXuWNFHpKthIcADksZmdQusIDMaMsCzJV8+eAwo6ELNxtiveNAjY0McuO2Rd9xDw
19kBcKGb3BtfVRMdmByfDbpBjvkr6J/ZU3dD/4GX47yElZWvNHjhFHdqF8B4+BQohVjgvmsXpl4z
prODbK3R15rCtE7MEVsy29anjeOcUEGcb3HW8zFMey8pux3wB7qeNPnThQ8CmXA8/UW+WnV7jyN8
qSJ3/EcRAQf9yTJz2DyahnNSzlOMrLjNXLxFXvI4T2vRku3F1xXIztzp63yBOOEUGHwIaAGbVTuA
z/xT89cdO0dD/yTIMnXsPjCis7n7JxEodP1e9hQRd41EJG6eksH5brf2GC7rdFyTyRTSpchLwXhZ
wdNpjqrZBaaz8temNyc7eFdo9NvsTSB16mgDP4vb3h/C0ywxezdvJ2Xfg5NlPl4qFxx1KXnsnayH
RMP1r11M7sY6fm52pBBYxHH3ieB+Ai2yEnlVel5/aZLospJ6OHZh8uZ2i7prO5wMrXwXUfu6rPuG
80WCvCyNbRsYGfZza9p0n+QJQ9M+zICyMxATbxGi3WKPOsjRxD+KPgI0ZE3le1DNolkQhOIPiMf/
5SQKRzimMFBvROFEXpuytcetmU/9pFI5tZVs19/vLpxJFTLErDG1rpBbVXVsT4GKUuHUJwHHiUg3
nyMfC2j0BrcVbZswFctWmpUBob3xqHu3HjkCK0OlQvawK6b9bRAkMw1pzv9/gZvK0r5zLh1LHlrf
gVrwLnSa+AHN2zwJ24pAjNbglV22Xz0G4lg35ej/3TDxEdMAvp6Gam06WvqOd5+EwzP6t+10GqIR
1LSMv0LUs+RgQMizPvMtyGKNO5+fByHfp5b85YsthhraBw6uB0u0JogwRCMwvTvzYkyM0uoKIlBD
AlpPgpIdAFzBdFrmwxrTEqWvEXS8PNJxhSLFYPWbfDanacWYm7pzE+IIGkw2s+2CF/5igc637btE
4pZ0NGvUiEacV7RAwEeYzx6ultFZK45zCPR0Pq2l6Rsnp4Ri+ekVxKrFDQGL5zpFbXck8UpTb8yD
Acsyqr31wZoGOI5EDZvqB3ckoIS7BWY35hdpGENFFwijsyQXFjj9eY22+4VM+4G5C+q9/Cqs6z7b
37vYhPIAu58C+7j2QTw9822GlcThCrsawRsHFkjq/bhpAo/aJLC4QoY7o9/CAxE+inyzKj0RHpSF
YbhH+AHaxmnK+mIoMwXlq6lQehGdDR93lEFGHv31XYRjBgnTHT8uIwtOMZMXa0rqolxs+lyMI7tX
O/sw8zSDKcI0HyPs7lNw/v+Lo3C7kxFLn9Mvj07rJOdwFy8Bf6mHqH9youOo9iGnNX1AP7yr3CRH
8wQ1bK0PTax/UM2OUbFcj8Lt/XxeI3qNxyAdtnU7LATvz5jAMQppj0GZ6Om0z4kHcBxRhUWwoUd+
2rRlBWCOAoAcO3E1oJoWiSWrF9+e+AIAPd5w2ntNXUmGKRDhtciCAC8hx9VuouGFNtF4TPR4QTmf
XfDwNNy9UVARM9IKP9rruqyo9XVo+6EOCwjbvSSEgfcUErd1j60WVRcaQ4Bv4R4XNZ9GlDF3eAe/
NKodtUh3zbuzEigYRODkEv8H9ROvQJWiTdkQwnU06jNCutkJOeR6R+U99rd7Kpb4xHrSHhfW/U0S
XJDrjBdC/dbTLS77czwE7yIJ5CX5NaF6CL5lQ38c69kOE/Nah9BKHGpT6XW/7YqoYwPznMUgHqPN
ee0V4PbJ9ZzcRIimZYDrWjfeQUUN3jkvqZIBqV60odse/t6lU7GFwXoaOknT3o8UHOckqZa1vRKQ
uJ3c9/PN31lz14m96n7jrrZuv0KT+CUb/W/tfeKtSF55bH5DaS+LazxkIKi/+5okTygsbIuA/BZT
KVn/DqDrGlFMAD68xpoEFZpNH612V6B74Zx7AX4g3ukFLyd+0LH1b+2EczboAn7gMZLL1ci24tcG
q6eAiZF00Wsr0JUhy1lHyLnwQTu6Sub+dVX4PuaQLZtjkG4zn86mU/shYC7wnuZbzeIJSj/JcC6b
tI7YrU6aTxBZeNaBGXYIMhhzI67CMWAWi3Rz30sEZ0nj3RKxbxk1gAOMal60v6IYu9IrkhZ2WxIP
536H6q2/QgA0OwK3uhY7xKS8MaD2ZZKMn20Ur39mEE7Db/kW3NRwWDzy7kcLgSMNSRl6/GK6FVUN
XnqrhnSfG9x1e/jEY3rrG2BMm0QjuPbWIxCwOY1qhO+TaBh6B6Eo6IonXxDUE5H72B/m7mWAK//Y
D3vuWJwszer/BIjIoUS3W+0TdNxmtERHtWCdgR3x/xe/icBOmxEebnDbXBOcl1+vc23lX1LPP0CX
Gv/Jzoim2oad0BeFLAWYCCXnNwarOzutmNtwJxYP4MSy4/QyIp+V/7AReFWsh31rxuWqw3xdu7jA
U0WAcAp56+J4ztouUheB9NVlUYbjEGvsCuCWLHXWqZocCZ9mcMJRwUJJCsC/xe/TDLjp2rMvCJDu
kR1IqP7Nu4lgysnxMV4J/MeRnHanxrXWMFI64QDWkC+v/sRGeEb8NDk97rN1PBNkrTyOsJRRteXh
Art2WPGgDWDnMqCYt62oq7irIVTWPkskesIk7CpF9he0t+59xRLMEzC+gjhnPZ37X1QQZ1tdbMYW
cLzESa/joZvUB3PolrO4/kKyBM2x42IQoqhtEJXgRD7FMLKSxeONNa4onLVBoLZPQ1ZTBbmERdrz
4aH3PF6xAfonH5BObnaelJgh/0OqUyaGOANrhxd6AEA+zRtFV56K3K/bd7IMueBkOk5T/GZgNaXc
i9VhxSQTbGX3LigVDzZEzpfoCQ+xeKwDAWtu2I41qMg98iX2Bw4kYwvDMlG+gyTEm8p+Ala+Gt5k
E6J0NDxRTV7au5gvR6exI6DNGRXpKf69d333OfRZMbHNA9T229EPoidC5D+i+fqoImoRLnG8JKr2
8LqgRi5iIp+8lrmPFAtMNi6IBzZvDQ+j8qpEUnoexuSIV5BUlgmwM4m+a+L5hXTxcpCTsMBxqX/o
E08cDE5b4DqCnqI9JMUsmz4TMkoeOl0XI4WHDsvBfZ7w/E3sgfx+9JygIPNO3yUtO8XMh5fM9CB8
kDp6UH+ZZvXH3ok/RH1HWjVXu4/2uR/7JeMr3kHe0tdFT9Gzb3FmM90ArPn918EmBvvnuhQkaJ9a
4eOEER2kUTsPB+1SNAIN4rlhbt5xN03VZIe47JxQPrcjqyCKEaGh53YKOcdfHXhz6gJLvg0GXQyO
ZkdZ++54g0LO2whzVnlBe21M212pYDZnpNky1KtGeC8wNBLSuKf/v0S//9SGghzj5o5SFZ2cScIj
djVsQdb4pSucL+Gpxk83icxlRgRg4/Uu2NFB4gE7Yai0t6jzDga+86kWOAkmJFtFO7r03DW1PoPQ
4dAfkbzucT2ik4EvAq2KDF3I9sA6TNu1s+QunNvleWtY2QSJfd4C4DU0/PRJ1zyzIECwzUhUtIOv
0C6YaK5cDns+VO4JREKXBpaaaqPTfpZqvGmXRHcUsYlZSpT8vNMwwRawE1bHdu/5g9t41bhIwJHj
hK5adxpqrJqRx/MlRFuqXboGyEx/mFat7wJsd5U/8g+0EDNmPXFD8Qq4ltPI2z6YHzE0Q173KFCw
VsrXvVYqR3Uuwm1Bg2PdxGshvNLXO5y+CDysN5jpWY7Bx+YrLG4SDz5YMEZeadihXd0t7jFskFg7
Qj1OqCyckwXuUBzKx5hr+YhQNuvRVcmmwJkOHTXRc4y5VOJZArqQkYT5yLb+qNoQrX8vrtOuGXMQ
W2vZt5N/COHClmoY5sIPQ/c0+v3PHnTNuVsPrRPI+9kbd9Qx9mtrrC1R9x1PkGsPYtu80syYPoMz
IGpTurmLf7+E2v+zG88WDWKpeSLsfh9Gcu/+fuFGUeDYwUuH1SAzkFC3uXHMzetCeE9IkvCZ0Nvt
/1+PI4vlVdO9xJMxSDHMPEonGsHzcnjgZi0Hxao1FVdQa2e8F+YhDLV5oHG9nT0SvKK7mhS+gyHC
h2S5BtKs1wHPfzQp2NiqC2e09Yg9gNmFGzKo5OLwFU/7gHYp8JCp2c+6FdVODaFdTjv175LQ+vCI
mVeG0kFuv1jvdfLxEA01iYMcuujmW/IvQmCKqdV799SAcdVTBztPqz8WFvS4TtgNO3tpTLJc3BGd
5wWuJ0I2oQ4O33s8QmJe79wW/0H39RsShrncPEs+Fmyz3T7fDQGk7LbNoNimGck9+ICR1WsxoOt4
MnNXP68TBUSESgSFer2ie5TgYVgoHfSWdjnxQeXEs3d0B8jscB0Y4Dv/fTHrfK9i+Fy1wPM5TC23
i6TINAa/Fk0OADJCL3rc71CYP6z4WLW0RXPgHg/+81BuXtp7f2VggKM5b3axfza7KnBwsze0YsHj
cDCHuH+/8EQfyLRN3XMWbq/RjjGCCXTo/AT9U0Gjm02W6JYwGNV1R2DwdRS5NUi959pH79Dr0Uxw
ASS7wX7GB/nFz7ILDtzLQb05VzovUGUAxLJw1th91/+4O7fl1pEr234RHLgj8Xh4p0iKum9JL4it
LQl3IAEkkAC+vgfc1XaV7e7oOhEnTnQ/2A/loiyRROZac805VkExUbsTgt4Y03SLRuBFG/Jdkvmg
RWzV3E2Dbo5GNOBpSiyGQwhAN45u5SuJy7UgUduDNrjMZTrdBTkqBj9S70cxOZcyHfdd18U3qdla
+9Zp35OILKnBhG6bBy0Cd5iVz1EatPeU5E9xasiTwre2w7dOAr9qi/2Ih2wVgQw4TFF0TTUlaYFm
MjZVuvWdrDzoanzM7eg+Fi2Ur14w53Vz9zVN7X1WocFPHjgYVxZIPXbUMhAdPoOmCF7jUF+6yL/C
tfJWycCMIx7T/EAwyFrHuZfuiiajcdz69jxdBOG3HG//LlHiqy3ch9JTsGrmYvGbD5uSK31FVu5O
h/OPUtK6+nEgIWhFYuMYZbtpR+Y2CgfFSnEv7hI9vZojOQBeuGpr8yrT1L0SW/xhR/XPKjLf0n56
4Q1K1xn8LuR45zyBaljFNaOxutC3FbSZZ79UmyTU7vs04D1H8woIp6CWx2Uf3kOU286OEWz6Whor
t5P8/ZY82mI+U48kO0JgjLaH4c2u+/mmXfAzbeE9JcHQrY1SW4zK/EvG72hkM/HopPL2hREzeLXO
guTChpgRXrJOA17IES9KTgOzj6DqaNoPWbnzWrUmvjbbBA7nFcW+WpxfeZLQK/Su3nVOXZ7dIVR7
ST3rMkKLYoP5ipds6N3btcwB2Yy51HsAecep1LedGDT/WOTHnMhWqLz7JP6JlfalC6boIHtxnkwy
t2FPpj7h5mxjE3eL6VCgntos626yHI9OP47J3Wg/1nFdHlyN8SBQwQULkl5Nc62OUpQ4dPvU2Y7O
Og8RER3qcbx4BOWQyuMQlRBwhyg5K4iOBbSnazPInd1k2/GpYx6/LUwU7nIYnHMuaR4HUWkqtNZZ
2xGar9c0J6fO5o00cOpU0VFgMbtgGn5Ims5CzaRZ76tCb7METAShocUK4rQcLIwMRPLUtlF9GbEL
MD8qva1tkjU0k97E84KHUwZOvvIKvs6TlV7LKc6uvbhVDR+AizS8GnsQAtpY+HHhDDWIeaVXINd4
7nQrZyG24xyQafN2Hr/wObV+TrVT3ebS+NmbfrdTU0AETgft1pknsSMr9THCkLop1XQswnEvCwRg
VZ1JMgz0dz7KhQkTqTar8hjGw40z3A9jOTHgdv2N1RzrUf6cfVygYnyvF9tM3lhfdmZ7+I7QMLMM
D6RKlc2/eDXzQp6MiCmCcIpybTMTOwcNdKsiU9nWKMb2JhzbszmEVxJnX8o05DaaGOQrBEsgFLeQ
Qmx8oFyM2OM8UCeMmBK0Dx8hZ6XcHrUoEc9gkuQ68rFbDUgiuQKiItTobEVq8aZZk/GI9LTKwimA
eOUWeARIsIJF6E7oZwofMGquNiwIAhblN8qIG6RM1mbLWJUVpKuuoh6lZ7/turlh2uNvIjO0djNt
9MEYHX/X+N1zO07fTd+PZ0JV49lY/iu0jZ2UfgQIgWxkTnm/A4EYbxPXydfC8g/EUppN6TtPg1Of
KZfbvTvRz2hYU1vVN/btbNnzpctf3bDcpm6U7UYzf2BmMGKVmaZrqxU6Qda5e+Araps5gbOuEemy
ygYHJU9RHHWH0e3J/WZdu5Hu9O0WRnA/e424N2rt7Sw94teBx9R3aXzUQZqsmHG5W6swxR4h41jm
2joG0lyPiJs3zlNMtOvsFf22dvs3aB5bHKHWKpNfHOTVrhEk8Etv/JkJRuuZdD49/xmyIsMo0c/X
WRwz9Zro3mdaIcoFqbG129TaFpPCljmkOfZISINOX2FLpD0eTWwVEFFQxLnCG9ndcpyvsP6Ox4kZ
eu5Tn8zRLwGO8SgtwFiWla/n0jLXpt10yPr02zKClOX+MD1ME/bAJK2H7KKIG7hIeKmPfbxvbktI
C+s5H5dwLYYoA5mj9Vw6Kw19KnOsaY0Gib7RRh1WDm831vgN04wj0GjKk3a7Bh+RBQKyyiL0TRoc
q2gQdjuCR41du1gFslvOLr1JS8bdkXEORWPdWKX/aFej2Cup+GwLsQt1QjbDIX3YlN0j489oC8zA
WHkx7Z+T1mclInAhJlDPij9E4MHyqSMNoqZri5z3nfrVuzv0dPtSYHdBtF0Dhh/3hjGPx8avXwSS
0l7bODSdxmEehS/DVsslTeFezTgp6whGkCq88VzZ5fOg3Ac7S9XV1cPJGeMLZ/+73c0fqTmnx4i6
biyyc7ekE6wOMTdfZtx5bVg8MGve1R0hynTnVp8cs8YWIkgKssSXB5r6c42ocDNQsGB7ZuhmOzNy
0obMQIt9e8CQiCMaL052wqxdHib0pa4FmcczMGym1F+ZovpssffNYQv0DiuLm3K9WwMxb9Xve+kP
R6+IHwrdcnlZJfp/16XbkEoxotVZWXBcTkla72OwpXMyfgfDW9VbdMZZqS5h/BXXEfJiO1HpkYIL
Zzvf6YIQQooAsg6pP5cmc+Ijw9cPTeU0hbDVOnGflEVKJZ08t31Ebyt5XJeXcUSaXQ3kcsiZjznR
V2qX3gbCKbe7hTMn20nth1sC4eNGRd2njhMcG7ZVrgLXMNfYe419Vx7TrN8L2CQ3gzW3ZJKNbFOp
2trqgFljwtxpPbnzRNHXXFpqqlNGnnFW7jYiy7B2s6cmhasXBnG4cuidN53Phz9OwYxTJQt2uhue
rIZfMA4mQt+zfG8ViQecKAANwvFBMDPbaNnmZFr6epPN8ddA0qFAELlxwQDavosZIZTtpWsfteAL
j6id7Mreu4KbKrbaxBvk0w+uEx//hVDPUYQrleJrWJlDvc8bYvSl5toQn4MTdBxHhLun4ZfMjQ6i
D8YLJh303mlonc0ZZstopYup9EcDMe+vh4CoMpMOYOlnEYuTbCtFUu8W0iGemnSentJ6BnQkkJQx
X0D2szE95fjiO6nWDUcxmBTEvrKZto41/4gGn88YlYD+7c1IoImq+Kvz4/ZsGBbG50LojQsRFwbN
h7J8uUx5zMP0YNc2eCu/1oQFkXtFwXTRowGPmT0Feqhvej0wLO1qSsLEfDftUm1F7ZCvje4b1XgU
YnGPEMHHHQ6RwVyvJzEs1FkneXcQXvPTtGFaNdII13Y/8+RP9RP0EwPHv8MbNHTWbYBZz/V+4UN4
ScOifaud9OKWgfdFmPYYOo9hVnd3YxcFTwh3HwTz3XNMamDUxX1gxITS4/LGzqOeGaTOH5NG3/Wk
ADZBn8Bo6sbggCoWk9KpPorcfurHdLpXHjVQ9SzafHryo4X5xOx23WbeQ5C2sJh6kH/zWH+4VbUO
srsxs+aDF/Ppd8sEXSiN9ZFWcD27HoNhnks+EmQ7oF3WzvENE+XItw52W7zkkRQnyze8PVsok7Xd
zjgvLd6S/ycMl/9erPJ/HOnFh4Lyn5NeHtL45x/CmP9OCuQ1vwUs2SwCKtuGefo3eov++itfmyVo
sJ1Y6craCps9MrzmPxKWMFeXzYTCZYuBBQ4Q6nVX/42v7cFahxsjLJZxscbiTyQs2XzxD8iXha8d
uGQrfRDf/NgFCfM7vnY4DnFUJR71+sxsJ6+tvR/ARlLTLWi0nz194VtqKpjEUfjShZP3lHPdrSxP
nij7uL2vAwrpJsiiZ6nUqaACoRpqd7aRbQGDnCv5CgVWYfetuPCw6/LFn1apI06iTXdy3Kc+Uxva
NxihK2VBq8p7hFM/S7cTgcO8Mc/oa2gPpPKAjGya6rZyxbvSkwQ0HTwFPcNJZuQguFYlyXuQ3Ri8
VHnyo+4tjf6Kf92QQwRIoVdC4r8qsTRk5rDRNmJsdpH+BAYqeh6i/l5b2cbK+F0GeSUbu+nUPO70
PJf7jpAOVSY2C2I+3Lepfktx5gRSbI2af9Tj0s07DjYiGMl8NhMvWXlLGA6zYaWx0dZ7p7SfReF+
6SipAAVk90RQf9h+9RLYyOlK4q5pE/kYuRReYd7fCpPptCp/5GH3jSDCIZAhxg3OrRoJjNg6esrz
8VfNq9fOaL3K+WToR1E6O1M9SMY/5gjBB2goaAoyiz9TUKIYr3dhOW3xhlyyhTU6VVg0PfCjVaH4
u0gfkjO/tQGU9qKU2zFJ8mczQWzRVcfbHOJ/6zETiyXp1SfoNRQXHkWIvQojPrURG3a2aDEyrlZL
p7ByNS1fPmui9Noc8PLjmYkCZsODqagA0qp+qcrFChttB0c+gW25lhlhrMmHHFLvx9jddCj9FJzx
DnDRCz4gwOq53kEm2Ch3SfvE/cUeqoM9uz98G8dCNDClA5FzjxTxw6XJiqS8ZtreTG39RIO4KYH0
FeZ47PLh0yX3fu60HW5DFXnMtLKjkNavIZXWYtQjWmes+QJs2plEcUP8EWIHheZKNZ85htoqcsrt
yMxMD4ARIwC/x6zH2Dz6wGUm+UPkeFMaQhV5t2szzYgmFAci16dxRrownfGI8eqt8PYY0b+nqqUi
KxDKfTfht5waAhFqNTcCYuuPsNvNdrCTACR8DBiiGn6YRrCPIrTHimZ6Am5XMiCqM8QBAPMkEr0g
HvckpIYN2dTyNjeKFjxCyNDPdTBd2schcx7raL5NlbuZAnlgsH6hLnyBsnsCDsUsDdx9m3tHJhUg
oboMmztlsJEy57DWYfeWldHGstUlF2+lApkrX5gKvGGs5dfu32RbODedF5xb07Rvqk7zaZHo30QL
bTxYuOPmQiAH4vLWgSQnIx3isrmtjWafQS13oJcPC8a8TRRQIsjmSYyhmFzan7/d/ntX19O/ZJD/
/yMC/GHZzD9fQuK/xNWyY+qz7/71q367umzWeuD1CB3hBr7n29wNv11d1l+WyyyEosQVtmy2/vvV
5S8vMgMgt8LxQme5UP5+dZHX9LgMXcu2TH7sn7m6AucfaWXLJid2b/OjHG5R3+PP/f3VpeykcDsq
qY1TMwuOTZdnrWljHjL1WJretLf5TbfhZB5sM76fyuDSO8RSbEdnm6HQH4phGPyd4RAU0JKdXhFc
aw4M6kgf+2dtmczQUSeUG52mZAjQf8YU30h/aibrailQn+P4ODMN2SQXCt7vQY373MPXKqxh63pL
sMsQ9XHCh84j6uI2R47ZN4X7Mzb6HSDEiOo7nslCuqBNdImLxyNxkN5FbfChTfHe4RNbB4pIuze4
2P4l0frOJG8pGkBU8cIBaeAWZq15HJ1yb7hFti8Y5jt2AiMtZio32eFXbMj5UIaaSHq6T215mBqu
qTYxOn62896UhFPa8Vfqq4+MHrz2/TPrBMxjUS7clFmd89xZuki9cqrwu4yNvdVaR8MSj3mQQk1s
7+cw3VUeqpHHUoWRPB1oyA+03LvI9rZYVSASTHdRVN4YgX1jBvo+iIY7W/U/hd9Op7bqwSpWdy16
6bavAO8uB53VeIeu5zJG5jmVsk6QNDHRlV3sMxRIceRYHXQBVe9NVT8mto8VlqFkJS/483ZxPvJx
YNuNMKLUOR6ZRo7gCWRL0gEie1/ssIftVSA/Bx1f27Ag0TC5t0GuWDNBACP3TqVoqpVZ6n1r2x9p
Nl4nBZ3Rg57e1uTl5bQzhwo+FFkbKESFW70OUfE2JeWjXL5O8LFsp9l3bk/ilAyYdqz7OKgvDvgX
b0wfCuU9TbM81ETL+or6Ip29n2auNkHrTUdSd+s0yIe1ChHw6wp3TJAfU6f/zskEqHL62UjvudJY
rEFecpV6EPAKc8+9cLDreN7NzbgvLIIa7JuED46SHLbTe67xpy6XXO7+gsaAt9BqGkgyGSUfqVkc
8ISBvTpm5EKVN1lkrIzKGb48P932MsRrSQTD7kbydNLy926T4E9vHsu8MUiVha/GXEF68+aVEVo0
93Bf0ubQQKXEyg31RwGYEW59axdFsCZefzdO0X7gW7zJwvhN6QS3pItyaySEqLyT6xg3hZv8lPBz
gNqJH4krj1gj3iOMqsg12HvtaCaT0GXn2sbPgAyyn8LCXA8DDsQkTfjM6ofR0Pepqvj2UXOIzn+z
eSoWCl0j9MNIAGidjvk+m9p9qemVu2oc13NK6GUKrGPb9TtZMUz3+wljK2H8gaEdIn9/P2rjOHVF
su59bMHsRSKf4HhNCYDN/LAoqzdd49m3VhSR0x/nl6aOyKHk9gnsdP0JkgqkcUxfLAcKqBTr6NpN
nOEYUZLT+7XfjKpuO5RMHqv0R+KReAjmTZYRwgqyat0EGOei9sZYItEDqTp7ZHVMluzaPnsf/fni
J6NLpDliC4sfPfozsUQYKbe1TzB49DZ5032lmTjqPtyL1D8URvNFo3BjugF40eRRRTlapGquZcIs
ihf0jfg2+4bxe/cklHc3jVCokqzT99Ix7+OUCKBI8SmXw71jqfnYuBn7XIAjpCGGxMVRtHITKvkM
4cSWv+JW0zekWfuWqYBsmTk/1mF165dDtSF3euCNh3jg48Bt2vyrBdK45dNxAaFGGzv1z7NnXMs8
498JqGZKZhZlYN1GBAfS2TpFaqQfHtwfkTvdiMY/YgTdd1737SrUoqlBpAiy1nlozfBqVCx7sHUS
rNy8/NbAytbWVHCuJlfHm7ad057D0Xie+CDXQ958QRIhnQCkl3ImZ3BQfOvefRsDthJhFHhMYve+
0Gw28KbsFa1xWy7AuYhA3WRb28mXN0SPToZ0Lk5Jeapk/N4E0zWiLFr1IryzInXF/TZtapgae2pq
rgnT2CrRLT5j9ahC3JpVvAtkcuQgqy9mBCGhs3Jzo/3yu6zE1TcdvZdu4p8bWfTnVILDtvMOLoc2
Xkx3QIMdIsLpebgdcX8eIATT4iT2uq5xZ3Q5WPVxxN7vNJg+moL1C5BJgAJMzX1UqaM2q9eR24hE
T0uGKPZvexlMsFmmB7MMEN7s+mi2isDD4NlkJRWeWvdpVMB2WyZPysCjbAzqbrDTz16aAMcWmTJ/
IXqsN91UXMfFeszgbleo1FmHifHReOVzgJU39kjR1325znwY7BPwzhoRcoZDEA/ZQeBhwmTBN96Z
9lNuXHx2MtRY/daWDA5ido52nR+xSyxLpIT3I5+J93FdsDrJ3jQa6qjf9/tUxy8RX59Ag3a2QEia
zr2V+9vaqM5W4n+lPkCNaTHzJ5XYZO148Sx7U9fQBIgvyQJiae9+NMDiurxcWX15juf4kpXwu/v8
oAuDUR7Q1NB0jgzEDZCSpNWFz39ckp+CQJG9mT1K/zEp4oPHMbpJ8i/hZyiJJe1PZcLG5H9bZX2P
R4+lFbdFssisVfhp2v6jqbNsq1X84SXyRar4piIINzDrFOSUca0/jbqOcY6SRCV0GD9lPQlXPjwG
n5HHChSj3CViWjcyZn2QgzZd2Jz+xrydoupp5k2Uofve4rPAaxHv54CuLydYhDXwFpo7z+voU7TX
Y7uVbfJJD0PVHhB7GLPxVjIEBlAM86ubsdwsUmrUtduwagEjeCaOXBR0nTvLm77zGh/OjfTWlZdz
y9Yzbo9pPqTL4FAsrBx+u3mdEeJa2S2hmXbEWqxxkUZZcCYzcGv5yTG0OccMCIzYvY9K9nvl9PvJ
K7e8Z3e9EDeiLA4pPU3Rsz1AmNd4hMRjCJ7ZkaRwa+Z7HTc3MYk+1g+dOvLSTte8tWSZMJd8yjEC
H4AnC5sVWvcpHZOdhCURFN7WarpPWQM5ixu8Z7617e3iZHCZWIwcPKUIQmGshxwiZMQaAh6/Lrrl
0jk4CyNlYsuMcKZnJ5ug59tLbO9RqW7T+B7s59zYOmQpHemSUlDfI+DpznEpVuV71rZnHZqbaug3
BcnKzDEOAz8xkcxM8hxrQSPiaWPicBonsrxCxy69pnQeJmi82DUssqTpa++hA3slc/JR89CV8jtr
FaWx2mUuZUujD6GAO97Mp7izUJd766hw7EJMMa74hbwVyPS3OkAM760IznpknbyAfQt6eWyZiJEB
MyqUFGgMvUn0WqbquxYFiflqVivy0vyyc/GzJPoAeZJe12NMdCM7vmqRhBSwDAm4fcdN1WbizrAJ
+vj6hg0WF5XmAZm58d2Ke8ECq9I8uFPebswk4v+0zRBHOC1WWthsS5s+GA9eAvA6DJ6RHcrqNLYj
PJUAzn0+gwLVfgqyvUc16JhQuMzLfCf/yDqubrMOr6nyPqo+v4u19wETjZpkkp9/vkX9183nH4h1
/+Ok1YA9J/+5tPp/0hkScZ8XX//cpS6v/K1LXfaiC5MFhiz3FcIUIOJ+61Ldv7CZ0COZyNpQ59/3
rfyHwApT2166V59pjO+KRXv9e5dqsbGbVSu2TY+yrGH/EwKrJ/5535UwkX7h0wJwBvW9CLC/E1ij
PFWd7m1346iyfkLVdYALVN5mKuhp5oktbpFU7p1waS7hLfcHb4ZtDIM2JzleX9Os/rKLFipB7mKH
EuT0Zor0tNLcSchsTPbu3Kz+VRbeYy0x2eSxoP0JH4PU7bALkB8vwi7a4CPgmQDAuWHnREQJ3P6I
mdG5Eqa9LlFnzG0aBveuEd0kKUsBGG3RXhrBqiPqZkfFaYjJuJrpVY71mYBWRea547xpw5dq0NtB
mZwTY4peWmB4yeb8vghhUCT4N8mKJDd9ITByGNXHNNFkW8VM8TphM+F4mAeuz2JwLkohrU5Tv8i5
/rIITNyFjOaKynvrAp8wxBINnNzk4s49BnQzp9QwZ5wnCm980Y6kmexg4xrVPYaJ6NawVLRRwTQc
uGs0iBVqQ8MI7gR5yGOPF07Ql5gAVTdRiFG0nMCU0aY7q0mqM0BkIAW41Yu6fEkzlgn2eOyqOX4b
kp6s2XRT420CM2ysLYvcP9VhvMmc4iON9SECSlb41TceqK2YCc0O8WasKVxlWX4EE854aBghWyGz
mrOk/5ksrN8GDyAyl3/tiWKQB4Xp33blc9XN1ypcPAo9CJNMdi9tYi+4GlzkbBZMzGcbHpCIh4pw
FzsbQROY1fCIK2SpEmCQJMVXht11B+BwN5iMyliagZ0m0Wh9+V05UnxPBheQnZGz9StHbi1pnvpU
uqsuy+v93CQpq1DcS1QUryZrJpiaBoeRR3KVqrncDa1PfNDw901Q3RQjZcQkMY1VzoRSHBOoy6ra
fQjYcoAoPLTOttPur7ojQG8bgdjMTqJXhhDgl3pqINvPp11emul71BkEKN3FJJ7i+6gK4e/SFr51
bdVyuVzKbTV62GWjJTAcxe1hjsWrtzCrASzxnEj+fEJI9X1Rmm+Jtohk+dkP30xP2L3uzLin+tf9
wXCKV8vIQhalYBbq4ilZs/Z0tQza+nKsbppE37slULfG87ZamjuVudvaYzsDIYAX5TKfozC6VAAM
CFWDP8oDte5YAhEs4zjDhS8xMpKk6XzBBbgnb7DrZvHTw1P1ZEo/4DbLKeb1wncjz8KGHs1lPH2K
kFqqtjNwVAR+JBwnXU8Hd2Zq6Kce7B3DAG0j8z3rzra56VPCT969zPSyHMnGZ9mlH16JsyJx241I
vXYb4EFOEyiJleFWx6imIzSH8TPHOQawuL1xWPMItBkrWVPcznZ3HwV+uktd45pYA/ESki549Z1T
VGS3A2wbjBLjkomNvkshzgY5fSKheK0E5DaziX8ZU/ThDtUTffxWddNTrct+px0YIdB+14QrmCMH
+xxwyHoam0ep27tC2ftOY6egmTKd/rUj6bImiH0KJjD1i7BcSv9Y9NX72OgS4BRanmXF31YNKGys
vgqq4VU/8N0vCm/eF4hNEAy8VWdMFd1sS7+fFLupayUEg6V2UHmCQVL/NKAmb1RcNTd1b259BTvF
tbOt1xH7nLv0MWR49IzrDi5z+1B71PORC8C8j8/JNGysKb+PiiVkXPo8EOG9VB3WkFLsfRhba+lz
1pcj/IO0l+dsVhubOAL8qek8LStgcgeZym+BcvaOgSddo9R3U36dsU76dFmgwZdaLPc/STuM29i3
WRqYmZAwEotoPsUUqoRIOMzmqxtWTxiWJ1p/FsLaWvUndmTFpEIwGPWmQC+i5BuUBU4sT240vR+h
fMmA2UpsRh6VTvCWOskCYJ9sLO4jdgoaTCn7u4Z1BidLaZzvcREv8OGVjKxXoubvzhje2oNqtm2I
fSEx0zu2IV2F5H30BHaxZPrF9lTzVLXilSWHB8/11TYMBmsfVAU4td45U0q7d3KYcEWRKFJ1Qsin
+ara/MVM2f3itOWe7zSDOAc1KKt39GSUYrN3LkjM1Bl24DB7TBMNAaFLn7JOUnw3715HjJ+A8b0h
reSGEDsZoYYwvpcTuNDzYtyQANStujkmkTxqXW8qIklbO2cYWYUWVl+21IBxpq0tCKHAS7B84FJs
tXqi9zNIt0aveMaBopbhTRDPDcwCZ2+zUTDu20NpEDMGE0NS6iaqIlKs6rHrDJt8a2cuPYQAkIav
JWMeZYA2q4V0ii0r14yloGRDVQvui7OF1sjrm92ADsK729qXWbebLhaXLq2ws3ohQ55xY7QVEhN5
MN3yjllD8+5WbM0ciMBXIexDaHAP6UQAFndin+DIcUkp8la7h3boPsiinpnGsKQRcBKW69YZfOQ8
UqWqm/eewFKBc2v22QXZzCHiEjuysSjxzZ4Oag4enXxi0ut4T4GM76u6PvX047Z2roCusQ9CGV4N
2OzRBm943r8iDweT24SLC9T7UTShxKAvDhXiTpxZ2brUZPqdsLqzbbLiTPzSFYASZ5FSrFViY+rx
G/sungrSwy7BgYbVlILjp2D30EoFGvJ0dS2kvJsNMgFBFr+woSheOXXyHoriWgjEPBX57NzCsN/E
1SZdJnCGn8JP8RcxRT7XQZnQSrcfudt+TimLGJyhuBRJfW8ECWKEBISUbvygAgPKiGLXd/LCAjA+
mGonhvDHWDD/NCUnFWFt/4h68TFjhF/nuuTRM4FNpdyoq4DLjKDVfOnrEhxwnXT7xrHfgga+Y+Vr
elwVvNkWJs2Ugm3PXWcfmgoOZDYB8kskGITFoFeH1v7PNx7/y2ZjAdsSfWjork1P51kU5/9lE3Lz
VcQ/hz9YPP7lT/itGXH+IhhmLuvK7b9is//Wizh/8W3HIbYT0gIwEf/9wMxHgg+Z4Vu++OOCR/8v
NC+BFQjMIQFWEP/PtCIW1pB/Wr37hz98aVV+14oEEXlmUUlqjCIjODgFx27AFwgfl/HOumXNauZ1
sHOCYxEFZwd1cGZZnUqxcsriilJgY5nL2QZGQHMj9fQ9lu2WPVmPxFfXeFy+69y7SZAuuUp6gszV
sZMelC2O61z9qLz0mHdE8ie2r2BvQlVZ6T4+BnFA+h6DWQPExYXkK0jn+PpSsLomgLIPRpONkP2j
KTGUe7mFcJZexpErwqhBrXZF8JRBEYCXA4Yze8iM5qXEsFISIPXLhk0o+evEWGpOL51JpemrQ4jj
kA09C2QywzLfCk2+O7pDLOqTmtWWDgmJJcsfWzp/ibrxKmrQABsXo6RLyCCs7YciJXmYZNCv0edD
uC4wXnZ2gKTVxWdJSsHprmn9biyUOsPt1jKp27U26SeCRLz1Kr5zu5DFPUX6xdphkC9kVEPjqfIx
AON5exU+PnbOcnZFHPg2Qzfv9jMgU9gdp5RdxQW0rCol2tg+kD54NGagQCq9kxRIYjBPNNYk12o2
3yTOFlw4VIF4xW6GnZdELHDkIO0viyCvu1vmaNtZEaZqr3lDiawoAUQOgW3e55QmPSxzO38apmdB
5Z+yGLyQ5rgyugHdCEIwcexqriHwBA8D1lOUzoMceD8kwSs9PHrVdMI4wCYFCI7tbRawfpArvBxf
huo5ZLfw/IpAeEzURx7gIl+YvtDDJjS/unpN+IHAvjFDk2wqWE7uCEYwCLN8tCbbIm0GK3H00UGv
5dh0dLzuKs1x+8ZAGAjGXceb2bhk3b8XRnyeP8UWqneJg5bqXr/7Sf9/cVz+79JpWA7DhlnHAb//
X0k1m589p6RMiz8YCv7w4t8OSOwBAlctexTNYDEOsDvgN7XGQ5KBMo5aw67xRZT5/RFpm0HghYIN
AEGAVe7vag0LBwL4pgI7gY3uboV/5ohkr8A/HJEujjvLgRGI5yEMmdT/8YjsAcpUgcgCkF/pdDXC
Ggxch0hMrKLAtSkFYiigyalo4D87NMOfY01raFQS7LjvpR8gYNO9sFNwV6mH0DFkD27hdLcTz9kp
dwJ/xQR/2TPShW9O75ySuttN1tDyLCbtK7OsdWSzmkh1mKQ8ww23PDJqW4/5v3F3JsuVI9l2/ZVn
GgtpcIejcbMnDW7fkJd9FxMYu0Df95jp3/RhWsjKqsws6T0pB5pU1SgikgwGea/j+Nl7r/2O+Oju
Qh7zBhGyDYfgCYVuwQLdzUVQboCS2Ss4wAeQY29z52LS0wqLDyhEz8Ky5FQ+2Fd4pmXqAKdb3A0j
RQWLyPA4IBNeUWoDtGL0gTjFXGmKac423AjolUKkOMTCgkhaZdEmav36Cgj3SwBPa+WhJhd+zGSI
Lx22IhNdWDxQtlRumH1w6QbiOq2i+0noU5hIGBayu/Q+MN9Mtk8pt3unASBKeW0SNdc1HO2V74gA
oxOYDDutLnM0H0nZYDYwf3hk3FZ9OZ56xyNPFxlHbvMAPluksYk+V5pg2EroObuvuB/kCd1r3MF2
zMuPRIF3Tt0c0DkuyIfrHuiSbbqY1gq5DXncFIbcD4WmCrEE/YRrvMr0Z2wjJomw2U7W/DEH1ndj
aWtTd6ZY7O4/J4siTGNq3u2uv/HT5flkdc9RrfeRKCGxROZVroaz4ylvJc3+R1Hzsqi9R9dsAfoG
wYFoAAdW438OQRycYlHH25zmAi/C6UTybkfE5VxazRHC9l46wXUDKxvldqQVZkzv5ATU0KIjhYRR
A0XT8hW53r7YDNr9KFH9EPThVsQi+AENgSExTb1NYifNNu1NaldbJP+sV9EmVpDBbOgdvW1/zcQN
lmsELfXTusG7vA+DJHj0CkgkZpl9D3aWbLo4AiqfzHeVCiEKdFjM2YiAq0XKRmZNaLwYUe+Sr6EL
vyza1ZYkN2ZEE+hikQ/2GqiJDUg77K/ygbTYJCpwhYHMyA1BdSQWv9Ni/FE2guARi4e1oEC6tyGL
8q33RrBK6UyNcpc+CauR7GaIU93FylhXhXnUiieObdTmIVyA5X6H+FERWOBCrrN1VJo/K37YBTSp
DT6hA6yveKPj8S6SlbmLpzIFBVEToMvM5meaS/yJVjfvJF8n2wumFkqvT0mUnkw8lbKS95MBjYj3
DD3MXDogOGOAZ23RTrWkc9CCIue70S4ew0OeumCZ011r+nCoS+MqcQN2VALaQ2UFWFkQivvgFlgg
qT2SZandfbotpfB+qbdE1vWqJFMJuAnN1hvzjd2QAsMmdW3F9aGgSpf+4xXEDPJN6DZ67p5cK6R/
IpPJeuDSqkqLUrKpNdaEYa1tZgcYIbHWN1vDTk0EdmKTs7AePM3xI0X1OVUAQHoPBm9EmpEKCbJZ
xlJ4sBRAsoqd1qnsJBeYigh0Od8y+C0Q3fRulPZ3ZIpnzhNYo9kzhIqZ7asVn8iol+up4SZG9GYr
FjOgEpijBjogAoOqoSXHFdr+drnQliN48Ep95nLYCZn2+7BaCoJEuq/9IFlpa7gqrOA6LdyfZetf
vDHGN2z31wPVG02lbrUNbzsEWz5Y7kPokfQt5uaJ8DDAzT64JI7/GPMt3cccVmvVsyLJJxo/sigN
djlZc9JXew4Cml1nTMRikrtByM/Jza9sM6z5ZHDVhAxOdhQduhhJGMttsAcneTuE40Ni99+knJ7a
gohvHzafHFt7w8pMqGqDR2tWU2qEpqoEnYnoCN3qI6q6E08Y4PWmANJglV+uhcBq8YVGdoERFYh4
7eh+xevUo+vDd0jEOLvBIGwic1wvHmN97Kiaa30a3bBPwpI8LBW25mSQEaLqy+C8iDFYWM0LT9Qr
bbXflccxmup2Z7N4g1EX8maLQccYqGjg4YOWV5WO4NWmvO0N1h4fYJ+Ro4eZV5mrFPVd5nwgQDs9
t6k2nsyZ0sg0Me27big71mJh7ZzLcknPm3Z4op46eg4SmA35nPNT47L+MRbBbdJMYAz78rPv3Zt8
SYbOaovboIbcVcSXJdTn1R5aqZ0bYEVwkIKReeS197OC57E2B/+TLc+JVyRxu7AmdFETG8HI8UJ1
+3bSLniVcX7z2jbBkNzrg4qMLxYP+9mPf1KD025ExT81H/Ov2IhoiBgJBbVVcDvlEoCMak6jZxyr
rn0KZ/eWLcFxJO++icrkSqr2MPbFUkqsafXL5+f/SnWCnhqcBwzTWIp4739U0YwiYZ4rwyL6walT
dFfJCLNb6h7uv56nVUArzsFzFPBe4W2MmM1G7ZrRpfLq9tMb6UEP0wY0REIQfsiuJrdhOrHVt89D
bY4d8H1zAtA6x3fiCn4L2zVsYuuUB0Dy4DU72Ypo4jqHFumJlJ9mMgEWahIiRhjsT4qAPbb2O5fw
dez2V1QeeYehrT7AoMNA1LDO0A8oku9zn5gDJg/F/WNygn43qlBhmPMaxpW4PVY2VZc1HBB0CSi+
rLrh0LUl7WqDe+pdWKyCbxfo8Oe+C9exD4+6BzTb2dGeQWvTq/QArWsNreXTNOyftYs0bLTjTevg
qvjra45/rbmdx6CACIVl9j/RV9OO5qj/g7i6fNhv47r7C5Ilc7rN/7HuYrH9bVpfVhOKbQbTsrME
SBiU/66t8jFsOkyPidMhKmvxR3/XVt1fJIkX6TJYS+158i85gJlv/2lat5bPBgIJuKcgQeOwVfnj
QqOOk6Cp9AjJG4TdXSzMdD9j2LgFC4P5YniBw3Abtax9LafjoFXZAEethaxmW6xClxrQhfYbibPO
y+Dk2+4jm1aW9GNYbl3Pu4w6pONXwq7NWoSJKWGfabfZk0zlObf7SG9SBASgl+a97xmPQxs9WG2u
XvuIqGlfj+FHIup+XzOrWwHJ+ilPj3llP6qYKtEwrlZVaFrnJNAF2Q9ARW6iKcZJe+/Ork2BE36i
TRANEOYz3ZljdXL7btiIMedfNYUb4aID9HRjOCYCsU+JVVhXb50CMFUGR1HMuyCCXEGanegLlRWS
etcouC6mdOBGjBkxoEpc1BhPumFB2rjT3vPCbSTFaSiJ9q4UeMrXpsKPqHqckVEbJPB8LO7wWVT+
5MKBMAj1y15XgwcQMiHpN1XevJ11dV8N/tU0GI9GX1isLMan3s12dToVm3Zq9unI8mAYTFw4yXDT
q6Kjz9eNbrxpegj09NOlHxpWEOlA0qg6dI4kL/DBuc2JH3i1BlPOQrx1gr0lQXbY9b3rmHdZR9Io
UhQbJkXgAnz1Hju/2cpsjPdVgeOqHR4MJloY2zOzw2Tf53WTXNyIRXjrmxABIo+W1t6jVk4FC18Q
04dvdmqV1NGD2cI6spKxoxC1zO9yPOUeKPdKZ86VlaWLZ2rjMslFEMBtwpItCDTmHEiAKMaHzq1v
TbM5UPdIB+xARsjGiKxb7wk1othVQl1XZf8meHgY/qC24wiSwvBTvQ61FR9hcKY/UovgLj6bT4tf
AjzmCxhqyoWFuw7orVxyw9e8HagcGfjCTV0au3nKrjFu0iLrk6JqZvet9dL3yVLVoUzw6OgyIOZE
KifSOOvGqgmgUILYmqnsrUKHjLVbwf52sa3hL8gx6zVZfCuN5E2W+k0zvpi2B2XIIuFiN1D6xsqg
ygnbtlEAYdcXN5ct9kE28pOsQAgZV8UUBpchiQm0tOSsY0km11YAMmaus4h6waZDsFRQcte9xN0r
QvtZYxVcinUALCs2/K0TXnKdHHTIU7Allj2laPsuT/0JyK9hGa9pHJyHRBsn/upx7Xj5r2Fvnj0G
nn9P5fekkK7Dqb2RTXSZuJmYZvfcmi7vsuExdWDOJrGz2L/LYWWX5U8/DTNQQ2n6HkOr2ihgE/Q6
AT/orft+dF3MChSNCGNAeNTNeDBDqnbCCGXLlf7OC1rQTSJ+G2uSZ1WYdisbqyfZMYPMfVs6t06T
fQLw8a/7vk2vq5D3mMK2z+qMcqFxguQX+DHZXORsUgrGdZsRAQhSat8cmtFJ6syvxeAfmStIX5W7
iZyYTkeJjapBcpo1Xs/wPiwrKjAwh3PPuZi+8aDz+WaIJklLVN3sYWt6a1dwqZ8aKL6iwNQYxjRx
RunzRKbP7nmCq8ilHsqG3sQe5+xb9TFfrpE1tole5he4GHw4C4elVfcU5siMZK8+0eLlrk7GswPU
0Lch1ATOLX3VW0+HP0BUO3vWO3etc4UFYXLsHx2xsgGUXWIsxmS4+0Wp613sYxIY1TEyuA8CAojh
1wEEXAFNuU1CanfMNjnjwQDAOUTn1B8/CiYg14EmF1OtQsNd6XJY9UB/1ez+cEbjvgr9ry6KiAWE
7oXadtBs49cQVXqlRcB00kYfJc+eJY32Zbn5Q9P7kEgjkv1h77iIhFQdMbnuasd9MJT8qEN68TJH
HYjh7oOBxWVE4h6Kg1nj6U7oNf7rk8u/mEDzt9HF+09VmWfKTCFQ/Xnd+PsH/ja8CHaDhGc1qSOP
aL36fdcofuG3mF6UiVqjlGCh+Pv0otCFFJlb+beY0h+nFwunmb18xl9DT+Kv7BqFvewSi3QKinxp
bSUhRa+pRYZb4wxTpvKWP/+DHMMlxbDxA1DIB/k2HPOLAVYjNwAthD7rAzV7Nz3nhmuz8barS0n7
mOekm5jd+6pryDBhU+pGtFhWCM0sjqMSS6bwzu7jl0Hw+EwcoNQRoB3IfCz+QgX7tgFz1ZxEeEG0
3bgo1mbZOCu+7DNms9F7rER6rQlkWCLfNhoawuRf8w95NdJiV+fyCNFkbYA65Jh7t4axg5XTftFV
dTLzYiT+wFquT5JDkZ7C2bOPYqAZhp5fbLmgQdJFCPcoGcDQkF/zEOcy5DwMU/IeAC6evGbT0UjX
Uf3QsyiFdXM0h+RaJ9PaoRTUs4I3G9YeNHng/KG73OwIQoRmej85aeuds7getshy2zgfN2ZQnDK5
rboABw84KkzgqRhuZPmF2wtt3LkdDWrZp4i1YPiFeFQP0zc0wL0n/Gco+8Q5VmUrr5wRr26d3ScR
3y77PqXQXYY/LEgYjqNpzKBCqdv59Z1qr6e+Wnko+47lQFwesJpivhvJ2hr2KXEeCgLW0gO3k3P/
KuCIanmphu4tL+8tEjihiI+AOsCs5ER6W4MpZhrG49jYMdAK+2gwA84FUBMcInCBPzxOq9wHQWLG
7n5cSDwae9OoOjhlOa2BGV5VG3vdXz9w/rWuSv9QKZY7zH98W7r+n/+j7srvf6NkJ/qMyncUvumP
vtQ/fZrfDiC1FCWrP1pJ/359sn5RXJ9clA5gjSZqyO8H0KKQ8D9T2CTzTcTm3w8gXKsm1zqXk8tz
LZI4f+UAksuR+qcDCCFcKU+6jgBNbRIK+fMBlFu2osQ4khtEArYeGcs/KhME4+PC2jCpgZgGwpWk
xkl1R28uDSjHmbEZQHZXYdg2SdCJ8VD7+6b1HtnQAqkkLUPLXuxfOmhSgw9Mjqn1xvPGlQedg/JN
p9kTaWTNMxIZUY34xvfAEp2/zhu6mNU1Fu1IvfpMtLTFED2CWVXCM0xm7kLepm/8nyxdTrEcHm0W
1Apn14bh9ezWzaYs/adCRg+5tCi8JQIdkY43iETrtGF7lxXl2vMfCpYeS2waHN1+nFPrtSJUbZI5
HOddiQZD4Bo2HYh8HOjoCxu5ZLLnxRviENOmDgWV/M0rBuBhpmQvRlCNWDfQxIxmhl1N3FsvuW8z
y1/kr0lwIuFyBsXDGi7caDSQYsmNN3Z/Yt0eAJyaGt73SXWqOIaCydwUmONLjEqs6DjSDeuzmhVH
KuwuHDONzeRI2dFwRWvWFwPaURKLIq25GUm4Gx0oBxLvRZdsLWt4CUzvpsox/ruSTI1FSl4m2cHK
qdok/sqQx461xfKngug5Gp6nkToGR1k3qTA5wxL70rcYUcvZvJ2K+qMJKXWvzNfAfCw1pfMESnSX
w+hGZqjGd+6qa0Xxp19Wez0RyzIC7PcPcOSI69XmOSjv6t7nJpBtMtc7JliTXB08utWlnXOaS8VP
x2fn2oJgmKybob1uk0cXsak6zjOA0CUZ1dXhZlhcNX3GrjYFnEVYIE7S68GbDzGvyoL6isjBxWyz
+UdiD5Lyynece637Y7WQFmrqFhDhLyEwudUYe6esoRCcHr6RRGzhIBOFxmYuGhZ+ER+eGrwe27Ue
nWvROtcL45z9/2ewILYcW97ZBMxkke9nVXxApbuiI/Oim/K+d9UdJMu7IA1dGoqB2g6CXjhg1p66
JofymM7DlScx7Clv3lt2cQbmHRP70A+JYuivQFpR7+1l0076Niy57pyIAL6Bg24yOsccOwQ8ChOJ
hsghbYTnoPKuBxssmHEDYvNetQg94xQL2AHBlUdBZWFEtzmigzMjFSaBfU28XvAq8419TTsm9Vl6
Ml6hiD2JwiG4JZXGY5VlDADyts8e0uyWFScmAKIxkPUd07jX4CxWZpRr2n2biyc6FncE0Wy4kWez
qJ4dGq5adhyR2U/vGaPQtsel9GAPQj9AAEGIryl3NyHeYHMbE2woll9sKIa+1AF2lJLut2aBHnE5
BeSLpKajr8AOnmiOadb/X55sL6SLy++v6P3f/xT8/+9//mXzt18H38XmvX3/0y+2uOLa6a77rqf7
76ZL27/HC5b/8v/1D/+NAZjP8jiV3//tv/xfOADOfzpKr79BTv/xQfbb6pAP+odkL8Bvmajh9q85
Cp5V/whYkGq1iVaQVbMkxqrfn2LuLzZTtPQsoX59vv1Bsl8IATxs4AMoNtDYif7KU8xzzX9+iklW
ndgkcVXxBfK0/fNTLIF1irXcdTYs8M+WY527GSVYusGjj7WwVTUtw+Upt30Gt9x7S12Rb8BBPUJ4
1/iJ0uxULOy2jvJoErPksAFQwcqWBOAws/TlYvR2MDyJEckrNhnV8/QTbO6PaKI0TNTWOZiwSRk+
dLyIKyolysNrNNktmX5/Qx7J3+LKKphAo+emJX7YYAtvh4hLZS6fZ6me46E4agQVVj0+f5kf0WcK
1VX3T5aTvomaYChs1bdMm3eYZZ6GUN4D0RmiCNacix+21MQMa/uSgHJu6GGTdnZTd9UF0sxayBzt
R3v3Rk/rWpOe66jrtxlrlq0/UDpeza9qTtn9oROZZXfMKuAqjfFe1e4lEsmwLZlanSo6AvJYJ3Tj
ouC48srleBwCe6fc8R57xi1btS/PfGNV8e2YzapWmtBdQBFpDfoMHeGp5QeC7SfZLzyHNRG7+9nB
rzm6+7Aur1Qo4b5XyMQlucYhYVIYYYQvyMV7vniBfzuy7zT6EAeZe23NwZHKiMuQtWwQi+hGR+Dh
eojAMauScAiuZD/b8AuHXSyjc+JjxDDpNC5MJOP4HX48Ta8+zTadQa+xmnGN8cLxeGT77RXxV05Z
28caMXnvHWDQ2AkI9Fllu+8gypq5s+UTbAsz+Yp99yObqhPfqH4v0uyrmtIFOnA7Ocaz7Jpzn3gf
VBWeEtrNw7i/NcrxmkeefciH+AEfAXqvyn/mc3rVFnqHEhSugp61iCM7eA/BnUW0fZrGK5rOGIUi
30JGyj90J1HExDanPa9T4lUbgBwNbW8km+l1XPMIbhwQq2XVviZ1/Ow1gMU43C9AXEBKJuo0+8nV
pJamaoelzkAuddYI1WlAhUIv8bXy7v5UBGyAUXqryvXfI7+dQHayj2IXA1agay7Z7KFtBy72bSf2
Nx0SezyqrQ18Lkrq17nW32FIrDqERoNQ3pAtbHpYbhIRKFW8U5xhka/h2/HUhgSTUI8IcGTrqlrd
9DNGi6aXeGmrGwgCdNt2eXdC7rqPNHA6rkIP7Ms3ogeRHanqRxsDUWgc8730mvuuNF4Zj04+tG5Y
MwiuTtQukiEhwPmQzuZaYkX0xL0NfbVI221W6uFHV4V67WNcXDkYdwhCgxuwFgxQGp9A51H6XnTi
OvQxqcRz/pKkiNh+YbKXs3EDu7SGx5gudNY/smI3SLvgCBGY6CzWXLtCOgih6F6Ny/bZDVBjgwy6
6HgTYZ3xBoUqKM5t6cJXzbatywhaJ70DnBWMrCfOltXSgWfv3Hz51pmChESNWYS8pTjL3jyNUoEe
SL0TBSvkC/gnNzL96hMFzXeAdhDXEC+0Lq6dQD40A4vmxPLuHeC3a1rlvsNY/sA1uxk190v4h9XK
xBe9ylLr0AXTK0HRT9x1RH1t8dEO6LSzOTCZjUdWoMR/Bob5vNkMg3WQY/CBhwufCh9SQ/2ZIyLS
JXvD3proUusb+qLb4i4rESQzSSvU3CG1cxWmKJVWBGgD8Y+Wn4k1EHgwDarfs0evyfdpV2xV5ept
FEbimJpouh0EhW1RT/u+cLI7f3HHG7xBDyNoW5UGajVMNu7IiXa3eG/6zjqy0uPA7hSzLVNgeVuX
7gv8iB82NhiZdBtZlnsjFtvZhxTVkHf2mbxFrzeSjfyqsQCcecFCb42HrW+hjEihNoZEQx0snDBt
H59mL723U5gCOaTbarL3/gxWcRL20Z5c4JMW3gVzTc6GCurauLKd/rvmzNdxexu7/oVtwWtuOYDU
Kp4hFpHYK15jauWadLoW3odXURjjtjitcLPIM52hcMyaEi59Q84lFvd9EL8F1fwxDnaA3yl/ygOa
w6yevoQIO6pNM8cD4dWPum4e3CZeWhUgh1qI92tmyhc9hzkQywAjT+YVqz4tXoPav8tj+W5a1QG/
z6eaCn8bGsnZDcgi21PukAEetvlAnn6UCR57oKKbOoL3puN+jSbPtJjqV6mxMw21s5fR9BikwjhV
Fa8KqX+wneO81uy0Hdriyi6/CW2iJjH5bszWJ8ePKI1qbiDMsxbynCMHh79q6H5/SkdFX5gH57wV
tOYVjqXXXII4IBaRx7Icc+GhDssPddj3qQr2KiBwZCY6RG8GutpLYiyt0fN7XflgRTXJw8K+HtOK
qsUZf5Zl9Q9Cx5QOx4dw8nHQdemtO/eHqHGeayqpiFRW5loROF3RIPCOi4VGn5KCtjB0SDZBr0oV
K3h+64puZxufgj6RfcUVnOKdqU1Myk2tydOMOPgk2GDPM+6wkVd4Q/IlkWPSkBMx8M6UKWRF/sGp
OgKzbnmiuirflKLeU63EWshRgFHVR0J/nRP5u7Yi+NMJBZSay2ZY5Z8YX6DY9VVw3Y8k5jujh8hB
I3JYqEeDb7+kUIqsAokdG39HbUCltPLxte29+DJNTrydZ06ZOYfA0HbuQQ7Vg5M0T6JsyrOOzG2h
0m4vovSjjSK4YyQknippfA9j8BpE/fecYVOyeZMCVYrZlYl2DQQOvxQ926NJHQYmRK6UWsCD6xzr
NGBYuURT+OXBsPcKNlth+xbhnQHr3zTrJAvttdOY97PfyC0EC9Z+w6vmsW8ZQDYdtWuoAbBcE8dh
cORp9VI3FZUYZF6GHqsBC0ATho/BkLoC67mCR7YoXpx9RWJ9NUJ+Z+1wTEbr1hzGq2SRtRJKkzLH
vBIM5yBwLunCkEczFp5zZ/bW6+CoG3Dm73xTL8FCRhxprIOmH2Jv0EPy0dGc1xgWwFO+G31+0yfz
dTsU7/hSHn2QCLQc3dc9pY1tRO6qGpiIPHYYmXrI3e7MSbV1jcI9zmImx9f6k7vvspwcj1kN53AY
Tr2vxLaW5k73hNSypLyx63CXR8mjMlk9KoMmW1W/QWkNtipxHlMtTs5U3lS4Rsv0qYpKYqkffZqk
W14P57gU39ol+2TyAu/FRao83ZgjDtPCvmPBhXMEvgFaGVFg2T8MQ/xI6UIAHgXNEavslTXLzz6z
wm0SsGgSNooN/Dr8BO4DG1aofqSd2jDUuK3k85hMqySqljv9Y+nWZAstkeEjhWGTdP28s7IC5Qw5
au55L9fdA1B3emJse5eESC1LJFTgaheeewzpfm08KJGNae8NV17XvjxWdbg1mSTo+zrZKn10nVCR
+w2JxNanRoXnKoQ3N9T9No79c9+rs2HzYOOavBvG+NoICtbm0QpQ+qZYmJguKS4FvDK2yGUHgSTl
XDN9F0+Q9bYOFWt1NBxKi3sGAgXcLfr+ymDYhbht8CdF24TxpnT9Uxukd4aMwAfYJpzC5FWG9cGm
70nQCWp5wxZgDVyOKV57vX3hYngqY5JYXtYtLtoJY3wcbtklDsdeO8fGJcicAfuqR1j2Sc0ualAV
pk+Xf37Y1Wo3OVxYHMl/RgXaWrlWvydRqo4ey+YVSkXMRodGzxDY19bgvUsuZKmQNr2H1PHlMiVS
qZcW0JR8+y5lzMKW4GP+FISUuccvPAZTVfplLjoeskSpNK2wte3QGTwqmmO9bt0L/Q2Ef+OI1L5p
4m4PbQ61YrCvmoZ+yqxBOjUsubELExW7hZth4tjVcXOLb/MnpleuVqnbXYZZhHu/4vvvK4u0W3tm
rX83O6beYDA7CvhqogoTUCUeBXPeS55n3aptl0GHdHgsrYNIQojpTf7hd9XTlGTWhgNjZ4z6fppx
NkriJ86Q3Jlz0RMyz6KtdOernknclhOc9Nkszq7Ebawsn6xM+Y1nRG6y0XK3Q2YSj+kfAZdxNDf3
5Cnu3dr/zhYijSXTdjeZyVkONCa08QFiGPVjZgo4NfFX0I1JgPDUoz26AwEtvLWhy/YUeiVCdFX9
nIL+RojpLoSpQb/aSDWBJkRdB9bHX9+L/EtKjMsm4T/e96/e0z763/ciywf9thdxf2EPD/DBQ8Jj
uS7YfvzDHOXZNMETBHOWdIKJn+p3eZFXjyL7YCqlJSLkH7f7LgxTSM3sTBbb1F8CTyjnn6MMOF+E
RSzCcUEMs2UhwPFHedFVZtdFhYRhVEQvA61a9szNfJo7Wl21vMtMHx6Bh+O4LpIfmhA8yYgfHIYH
t0/2itvtuumjC8Sp7qB19tUk9JDSpPRO669aw2d4iDhB1nVnnOtZsGtpH205ZIfe5UyOnHw+DCy1
46pIf7gRdqrUEVxB+qeuM69K/IDWIHzi0vKBFlLizdEpACm34B1YNPtXRkJVT6ZmuAk+vxsLmlbA
rZUdDxirBMReCLE1cp6GS96/L51HzKY3vHtpqSyijVH1z4GhQh7HKZHOsf5pzMFpFPV5roaXiIpP
X4V3tZthSxmbI8XrRzdpa1Y36XpgSZ/bKX5IdqNhxUqS+gBKbsNXcF0pRbbTsGPyfoGeIOgqHTA+
ThhfSjN7g6GodtVYHVrhiUOVip4rT1jtXe6OxwpUByUvDL2embpLDI5O5Xlu1k47nA2xNLgIygeY
On5KvkkfaVkPe+kDY4DBAdsycqr6G9makpXGfrCCTryoHKdM5vTzlkT8T1fZ/RIJPRY0mqykC8or
gPuIez19S8vs2S1Ha2OSZRsDQuRWXu5Fpx+GbLgVAUi72oHdHzQcj27Qa4B0dOq60TVZY3ttRMNN
1ZkTKKiE8AA/m1gex4xTV7isQmbwaGMm3qMGCTqq+LbTDKNVmIPY48Hh8EpE8PWILjjth8Vz20u7
F521j1VP4K8KiW+EDt/oeWLtHOJMoXWkfcP7+lSYOJUdC0BmI910DxCo2hc6sfHxBhc/Ttd2j3kp
LxhMSyi+pWfM65y8Lv3tgPOF9WIi4DiN/RqozNsYNhedeB6/27C7ArTwxWMEGnQ235ZTsmxVWqRT
e6AUWTvc7vR3b8yEHwtNbQopnLZEeZ/47dyLcGtV+8RIGPIxyhH9vKVammegnsp3JJBo74vmmsbY
a7rl9lI2yaodWUVkKaG3Wpkw4LhjAo6huMqwjoMRlj9JCgQ49SqsikEprk38e9LzAcxT/ujlbxJe
irsY/VxnvgptaiSihTpczultjk1pk+IPBCgCSlAasBJs8he6FJdksRNaS41e72ECgJ/Lfd+zqD0I
sgaoCSVPFnbEOLYe08WfqDAqElE6pYtzcVg8jN3iZkQysF57DI6d0I9hNN3TTJrsKMfEBNmN5lmn
yRMFgigRUSb3M/0FlABrvc7x1TDsUeK3OCslAPFSBUjymC4tzJfx4sI02Bavtd1sm8WhSQsntRJe
E1IZh5XTb19SiAzm4uvMKVTb03lX3tEbRVAodMUm4qhakhpo8KazCYb4joLwX4lRt5MAWz2K1n3n
H/SjxN45QurGUM5AA138VPfBKQRf9ljnFrq/Nd9M43wbW21N9eevc51f015Xe/Z145T1waMemnxG
lS5sm6fYct9KuaAN5uMohwcZNNezrPeW7901OLZX2stuuym/UQnSXVimt3No4ejPjkob66BqsH8m
HbNY9uZPTBKN3d2h9d0xhmB5oNi2bTk9yMYmCsNlXXx05gx1PP2KAmvPWHp0HHKX1rSe8uQVvlW1
snuisHmweKJuimam96Y4GeN4HenwDI9grYf6zAnH+4X8gMr8pzwp+QrHn/NogW6zTlNul5jeJ+oZ
qgLfNpu1ALLGKmzlgwI5w8o39cjGBl/2rMGIJfHHWA+3VWJ825JOwcijf1ZctO8AtTaPQ939kIEP
uzRzjh0ek61ygs+pzB/dhq3NMtH3Lub3fMo+Aw7ATTmxlZocERP1sXwIFq466G4gJyzKy2SDP/DD
G2NmxPeWCo8Zn35dVjboPl5bJJuRdrvPyvdfiqrbFHFzZbdgRfIlak9fSscJI7xoT2pqj2nyWVXO
qbbMS2Jnz0XK4kUS/HH1ph/7h1RSnjU06dalIVAFBCNsB4huvklqoHC0sVAIwcJlNcekYlVVsGmi
Co1XYxGc47g70SpMz0Sg0Kfdp2Fojiwo8tUsQPJWJFezCTdMPLaXSFI65tUTxjubC8Mqyuqfwfl+
zNj/gOx8zTLBHxfeJo+UvsOq7K9j+lR3duKmPzPclGXFcy20iQJV+eP/Yu88lixH0uz8KjTukQbt
wIKbq3Xc0GIDi8jMgIY7tHgAvhnfix+yVFZN94wVF2NDsjdtXRUWFepeh//nP+c7DcV/BmHCJQKN
s4nmR0XHC5H0UL6INOeU6qRpCn4tng9ftvBGto9WfO5K+imSEBngXzfHH776GWr9z2+O/zgM+8ta
bf7M39dq+IDI9vtYPBgBZw/a79dHG1CAizGEBZnx4yO/XR+BnTkOCG3WbYJP/7kYgvwsYhbeEHvO
1/5Nbz2uqL+s1UjCOg7PLQM6GmC1eYn48/Xxj/CKhI+ovPKsCo2eh3IVGOnGifFI1VDzc20b15cC
B2hM26frtasyhqOvLjSGoYix4cnv7BAmhrkc7FcTC4INCyrccVkQLKqmgftgtCTC+FTMaZDJH9ZE
Rg6Fyr5aeUQ2iX3EVDxSOoXRzHJWgfMycXrqE6V9dn3v2qpbR5QpTDV8Kt7LDjyjmHIBzHFAmJup
k2sHA7JFRsUzMed6VkU1owiLx8CzvE1e850LcYEsu/V8bU8iFh1X/z7E9tpW6tDpCSGA5Jwn2XNN
RtenEI9iAzR5eCoxGFYDcRNbHoEZSaFPb2YnIvxE7Ts02mIO1VAH+xw2zbMOIWvNqokxVeM69VIV
d1Zizcs7z+DnBuSzbJW0ZkP2cye/TalFbW8mmc61CGbybZe4S4mgAtwIOUGf9DUMR2pwZbnRSf1o
pH+GsDqJyF5PcySod1MQ5tVrbmWsldD69c84yGhFNXckKd5qO4NnEu/zwuhZ6IeU1JSo5lV3mQIi
xmk3wF2TsF2wjsB4keLMDuECS2NFdtsC8lIRUsqT28ov7/0gpk4LbExQ30GmQr83e3oH2FF0zWEY
xAHh7mTRqa1IPbWkn/r03XM+GowavpMv20neAOzktHw3ASP8f+9X+9Xm+h8Mr22dvv/b6dX7Y3p1
vvB+mQdYnxc6b2+yM78ePzBMTGgjHthEimF+vPN/O37cLyQY5gg+tEW+D4Akv0d73C/YQQAtcqIx
3P5NuL8zR/r/5E3jEBP0CDgWCR/gjTbf3s/Hj5KFy2HXkbMeAFSpEYScBVP7ZHh+/FmrweYmnkP4
0mPGgmbMZ8PPlOyUk5jLyKjso6RhYtNREbDV9VSjvcUMjpYZBNdJ6ITPx4kSqjgssmfhSOL4vMNZ
MI7mKaVuqsL1wu4/FhTD2DKvNvrgVLxXwnSrCsz7VeB/jlUIFTUtTdY8fO4Uu89UDh+aivrhiDNN
zLOGSTvwoimMV1p9+Vcwr0D5Ui9sqOEIox7OY8cGmsOiJLjcPE2ZcG+KwsH7GpHbB1acLwYPsL5w
nY8uDy8RUOG40Q4OT5ZlEbL9lgFaMebPO/bZ2zievrFh3nU5xX1eYhIT7OmB7qJdacS7geoMDu4j
Yvuzn3nYswbrRU7uq17h/gM/T3UllJF6yEFr1Qd2Aw8ZX3AB+XGr2cEzUp21gDhtrKOq4BYVv6a5
/1Jhpcr18EpyiJ9X+WdRivdSMNcKlSuyi6QQgpyShAmcXwRXKTdyrlnOGyudlYzjN9N0XxN4tAEM
q2aGWdGMdNYA3eIUMM9Cr4vFMKOvuJLqi2zGYUUzGKuZdBBZU2mjH/8gZ+kzRAuFpdwlP8ha7D4s
/q563S911zw5MRhnkqHutdHM+hgzAUWB9pQPebChFJGG2DG6aaNhU5qJzxW9EuuEF+E+mmjw4q+R
UqY5LxaghkD2tkJ+Y+0212W0Hc0m3Gia2thjtZkSztExZLmE9nNoyuLN6MZTacF0CHWXAbpQgJT9
+ORV5DaCTAMaOEIHlfn0wWRzMyCg0t/ISsPP3nk2fqX2FEk+C44oSjddRd5A6f0tgwkXZXMfmCgW
w8glzxnCY0zqJXbCZQPcMoNI1pFca019rlN5KmrzRsiGVxyQmtFeJX1/Esz/wgtxCjr2M8iEdy+o
XJJppKDqKNDpcIUHXLDkvSGfT2NOM/CSUFPO1iAHdl/lpX8eaxd48qRsdxH3ffmC04sRvaymaEGR
ef00dBMUfyXe4MHRFafzCAxDfTk63V56EHccVi4M6wB5lLZIh3wXhEBmujHDImBXa1fFt3RAi03K
bdvK6Cc1QcrRBLcJOcWWDUj8EncqixmJ8aHc0WFDhB8umUngqvDMB6fmSeoZBsTVkWJ2HOKxTVJO
G/Bp5+KZXuqB2qriSmqeYdWg367tlrGTPjpleKTk/G4gV1Ohj0RWfJenR+5NXwkI94uqELtEjPf0
sD9WlVauhB2xNOm5fARcV3RvuAc5jQfVa5NTr6FlyCZaVnRnLlskZNaBuOdZi0MGNCtUCGVdDEad
0OSA8aZy01bUMZthh/IVvKSa9h4YCVQfJ/FJw0Az7GmEhItC1+TUQMzsjkbXjusRg4L0873njJhA
auhkaOI3Wp4+GuC8y5DfwyDCTxK6W7Ppzp4S1MsW3cmqugdfBsem9NYjSfCFW+acmpX/oGOpcYz0
kXfjhpsp1grJfKU+hZfuwrb7avtzmUl+7rkyJAaFWHb5HDLDUqR7j9N/hqueh6bZyd46+9l4MAqg
eUChdtj4ea1R+q1zJ6vYChdTeme2YutPJOpkGUZclqR7P7SolTENB2HyXumBjn9Ux12EA8kxhms8
+OeI7me2xx5dYJhrKJL0HvFt7MOco9bJtIup5fuJQOEgu61Iom0LIo+FA3dLFLselYwERef1aBNJ
dguQ1UJIgq7Adpgwk4tIyB6W89Yez2EDcaKhQszM+33ojgQHnXIdsZcNeWlWfvSgWRK+QHZfBS13
w/Zx9JIPUSavfcbm0KCAEiSTXNFHcY2x6cSddmtTF1iJ7/HQgrZKbjIHHGjI7jrKXmMw3nEEdaY0
mdr1rGRsf3a5LOUQAppAXKpaHkY3uAShAoGYEUagf2sAYC9H48RaAuS4B/Seh2VtmQvpQ2dQ9nDs
Bky9oeNfpfCeAl6lB8tsIX8AHeYB37O15ypXkahv2cF1+QFHRnsYKvFuiQTMVdBsYg/HLznAVZTH
N4bfv5aFccEz76wsHVvc6IdrUAXjOgVASH1XF11UnR/1CS+bsI2HFFkG4vdwizP7anSYTJoiOlvQ
MvhDJN9TcAgLilk/JPvfyStfGg21WvO91zCKymXi5S8MxSQ+B3zcFLXufcTWC6kZ0nqDU++Rsg+J
X5wlJ4PRjvti/nnZ8XM+p/kbsIZu2RWRuUfVOda5vgqayL1mHlHENDT3oZGd/NDfCgWoEs9qyJFB
ZUBjA7OlHaLhPSr2vZdtwH9ydgZWfRCR1lGxYB+ChsW2W9RvbleEBFGAKDiNPKMx0OXYZ9QKm+Yi
IfGzEEl/Qgn0YnyA1LMGGfulFkAGpzZP0rLNz6GaPusqo/XGhXUe2fP8Egf3QRqeY2pQPpOWqKtG
+TeyInxnqk86HjkyMD6i0nQPAxZsa+Ewvy06QU1y2+TawXTFLe4y+LwNKXyZnv818v8Y+ef1yj8f
+c/v32TxD+7b82f9Pu5jW3AZpNnUYJ7z/sCUO19sAYF8voSzpvEcrrq/3bfFF27ZaE6oAL8GPn66
bxOs9U1BKv/HXfxvsQH5Fv5y3yZKbzj812xkB77YX+/bRTJ6nCVEJDHbwtyGOfdVs+E3JMZRL9JH
6v0euVXRPj0OL6GhsZCnl1pO0wW28bW26M8WmGYf7ZT7mKPGs2kUtImU4Dq5VzAxUlKS7S07xwZT
sQaPerEPBxlsBx2/m54oRCycEUUgY6TK8JFXrsmNLz1FNplVGeguIRAR7Hotvcim3/JrYweb0Cyr
EdPkyIYGOJK097MZycMbZRDZq1Ukz1GV3FkK5C00Zf8gKapEDhtFQg+Uu9VDqMpD6H7FixVAZhK4
YwlTd0F9IwvvXg7OXUmehKKNjGdnxNjxbA8u9QVtYj1h0XRXSPjRMqxHHzG6g1JXl9mqBSVq5N4u
hHbsIh+S+1pHJsdCZQ73vASov0HFRnD0YvVUzqIFQiRd60+xaLYmAqXbqrn4m+sx0qWLhFkgZYay
W8VV9KKQOFmR3+P3wdwwq586Mqg/66Eo14TqkUjHAHMCkqmypnI2aNo7iAcB5FaUVT9nFx/NaqtE
du1n/VXNSmzRgT3u1EPfJV8DVY3rANHWpEMJJG3/RpXUAZ71U9m6d6WbnarUu5SV931E/o1nv58A
cR1K62WYFWI5WdPSL/R7Syu+psqGxhdVHM8mue9eu2hzcZBWe1vup/FtVqdi01U4GOhEDtaYK6uV
aVBXT5vEM897MuUGXps2pP3R39J6vPaKHDsE3oilljXcCi1Y7551ab3qWXUNZZQNIPE60O9cu0z3
fGd4lFs3u2Oz5B8mVkx5TdIyHLDkhJ58bYIH3YeVgNXuJL30eQbuYAAK78bUlI92VJLmTk5Dosq1
Ew4ZdGSDPZqNca6pICY2tXNqSswQDTflHazqac+lql3VuvjGBd5ZitK46pK5JSt0OJLTruXKqXOV
LIriZoxgK8vKH89+ObEQTTFOYv+65qU6EAjnL8U304uRSVePIbqXFrF6o1t0CQBeCEWsUGojWhFh
ZmsEtSvv0xsKvFZuqK+DYFrDctzZCOZspWlrV6vG4RlHo2WLmc3rWixgvYcAPy3jNrlr6vaREDqe
r5y5DPTwQcfvPuDuWeJGuWZx/55qFIhWcf0SdchxGo1eBFKnE/6EhqUK7WlMjoldvoMSuCiAmLwe
QXz75r2E85Q59dHtsi0NYRu7Mp8pC7rWSOnsvFjGsJN0qd2xA/humuQWH92OIwU4unHFV+SwkQye
0AS2fdTtYy2/+MZdy30jx8xrYOql6guSELZXbfb8trMrBRNwiRm4wRTczu7gsZBv0QB42sU43CX6
fTQ7iQ1nulS6GR6d2WXsJfKmCBQVPNTweLMTGeTb2jPrjZo9yubsVhazbzmfbbhRk+Flxpa0xdg1
V9GW4KF9RrBCOO+uKV9s7lYFF8oGc7STB9zdRQ79qUHfl3p5kSmUgdqDCxrN/upSeu96BPwNlPLK
xoItHIZvxxm+CqmxR+mzLZYDODp4TThm4IJy5YhnU3eDuzulOowhKHmCOfXijaVYW4Be6cXF5GPG
Wbtym2JtC4z4knKcKR6XLNfvRpVeBm0gEx9pGqN2f07i7KRjPvdnF7pNLc44+9JF0r5idPqOxIih
sTa+xY4f4jHqgJHy2sDgbrBj7zG856I8jh3FEBo8bwzxqku+mbNDHnrdgU6FD4V1vnP7tY8Juhva
XWEqfWvRcLXssNuHyTCtqDU6BX7+oet6c7IMrMrgFGSCmAxdP8C7X6VzXBE3v4er35mcVYbLX5Pp
sWRKp+OVxBk5AIjUG0ELeTAHBFjL3vRE2daC7EASxXufLEFEZfdJpzvntpyDBsigd0BdqI3yGrnM
eiaTOZbgzAGFmKSCKFwmhwJgHbOKSZShINPAPIfndWwea9IOYUTsoZ4DEGgXCzGV77n53PgZI7rn
XG27u+sITriML9YYhlzrkqfaHb+1k3kf16T41EgMzWfEcPTg4PPwIJbQvvqkJ2dHsHnKR34DdWvv
zTT+tEQINq+9JmHzXqXDKbFMAHdVuYgzZ8+BCACRaLLePVdYTfc2xvu0NXHOetG215wjWk/JhDMN
d0NVPtgygKJW72ydSltgnJ+UO9IaLO1hgdME9EgK7svsLPjWCGPuMHzTbO04Vj7lVniWydRQWvwg
vWEr2/K+xZG9cNpoL+r4HEjv1hMcN7qon2U/O1L1dB1E1YdsPcoWpHWNE/NltCcyLfVTT7pyHL6r
bHrRArXDKP59rNHVlRVdgA4T4Bmyg2q8Yy8bg0McaZ76BZrEclbDrfNsNvVNMBP9Q9D++cz4Bwwy
rIaZ+88uHYZV39ylKUOVMbcDKG+8nQF1W3yupE4JBC60vviOuLPKNBKu/dw1kFI6kFE+0NcT0zF1
BC21BLoCDDbNRQVttEpFdHISY2sM6joM5b0tC7HqqdTuYd91Fr0HfdJQJzjpDxaVCKGpHgIqErBK
AgAraX0z7F2o0aLQTrBzsukbNsKG3WfAxpF7j9k7RxXTwWA4lWDLH+EFjpJNZ7W3TVpc1ICFZJLB
xe2HXTJ3OoA++ebPLQ/gOIu94Am20OL4tXJo3MAI/Uo9kkn3Z/wBeJGH9twc4fXWbTJ3SYzCA9mY
brnOUk3AFnQNVLGgimHkW+ThHFBKYeMxFHNLRUNdhT33Vkxzg4Vm1CAMkjBd2XPHRUXZBZGYTUr5
hRmFz+PchhFQiwFcCJmkSz9TvV2OTX7ow+qtHJsPrAJc4OjUqOdyjUqkTyHR9mVN70ZH/wast7U1
F3IomjnYHlDRwZ+e+kludigsyVzjAY/fXyZY18u54sPzq7uOzo84jo4FIfnG51flZiRbssTBz4hl
vIzUY8RNUGUos8S9lvZQqS3Gff1V+Si5Y5ccx8EN13X8PDJHJkbLi2c+6Zm6VrJ1Nwh2404NuFwM
jLg8VwOfv2icc9XjF9e3+nfPsR60hpABy3nt1q1JLBNR8hepFyDrOqHFG4LsfxZrGUeep7PmyUee
XjRT4kPl1J6IbqGCNKt0bPkKlo/fh53bzkKMiHOw1R78oWNhI2dYaaR2mMavYxQAkZ/0ckW79Qd+
l+j/YMv78A+bkf+vLadygViZ/xEYvq3y9+zPM98fn/fr0Gd9YbvLfsWxXeEQXfppx8IOl9wkmxIM
fzrL1T9GPpYoPMP92R04r4t/Y6fNsUn6C4Qw3F+4an8nNklI4q8DH+F/vpCtg00zsSrOH/+JPoJZ
vw00+i1WLZhQ9odA/OroOjiw390jZVGnvCIRHAL5SSaXiYe4ERYBGLVkkAvCyAahZKCpPPca+zCn
/EKzCKFS9k8JMHM7SvVtqhs30HRPvB0eesM9WyE+lMI6taShtZRYNAjm28R3b4euuktEeAOg8VTU
1YfZy21T6oeSDLVGEn3JA/vr0GevFC6eVeWdHR6BEcnsjIS2Pke10V9WIWSjxuYaKqZNPkCAx/w7
rzROLisKtrfakns5j2fc6YjFrWXfTTDXqmpc+XNOnHxjRG68YC1ZzEVT0thpIj+jruJdM9cVykyf
wzeBD4GE2t1YrYSC0u47g8jgQz+e+865mciuu0B7Mex/0gS5QBSzaGytLbXMhEedMpY4EvC9Thmx
cZQRCC44TJyoKxXz+8RTZttEXMjRu/G7N8fqoyLHjWlwJTCX2vRA3BYxmDW713yAI71WgYPsKlrn
olIM7qZzU+b4KJP+CSjBtaqiU07EHaeUdyLE+0SB1cYsR/pCByT1uNn6RfZN+vZNm/Vf+yg9amXj
HrmFp6HamfAOFp7rGLewScJ35ZZvQW4QHvQlAc2pqq0Ho0AdNVVArj6mk9YV8nasC4/sbOPsqxwr
qKhb59RZZNJaoe3o5lbM7AMPvIbzbRQv40T61fMxQGHP3CYeRoFMFJsBY9FD3pv6Z9FKOgwdOTv8
QClTpWXUdIyF/BnohCL6QCWiDtRrGDb+QE9I2G4ATMzTTomvFK+4jHbtj6B77bhnTLAUlhCC7/30
6s0hFMLxOWfk27+EsF+EMPLV/1wI27bZx/d/yJTk0349FBG1bJyNPqFy00H2+uNUdL+AY9KpwiBr
Pjde/OlYtCEouQBTTFjwP6LmPx2MUExcDygxOS+2g3/nYISB8teDkS/ACWvpwjUwYlt/8U0nrguz
p0Zuzt1gXGU2Lkkn7UJcC6SGjUJkZ6exDi1nyM7s0K2UdcjkbaCjTbjVsKq6iCavcZ1ZWvysO8Gw
Ni1IZgntH0fNGrBjz7H0JAh2HnAUc/TCq0kN5TAdIIpNB0/kHG2GPhHgKd713sjWY1GR1ambx5h8
8C6gYLLN5c7r+2LFzkJtJa4ZUn27jovtY1aG46PWLoKh2SYp1V2i7m/ICkVbG/TKo2YSdjG96eQw
Yq9GZJvlxBIVw0dmn9wYCUsvx7uqssVZRHF9NeWTnew1Zct39noZBqCUnJ6WIEeb3WOdNQ2CDYko
gIaJZY0XmiSsbc62CgQbwamwXgZ54W8D/w6xazoQ+IWOn9Y1m2ByDDAoibeV5av0kdZHQz6WBZXD
oogvDeDBQ17wtg7jpd9U4abutE8f2+s9kOd23Ta44IJmlSOIlINv7IADuovJZuEkDS7K1HKPTaUd
vbJWpzKfzcUdyH4aQmgObJ2PLOm5uLPqX1l+0G9SgzWza7CrhmztHb2aFJ5SwDBpKn9rmzo+AQeE
vq28Tw7kvS77dpu4Fv5L0W/ZY96zPj+PqQPoETM+Ba7GQpU0rco6TTcepstdaOJ37wO2zeiY4zKk
qDVPBIV3sJBxSPs3eavRMF6N0ZsC5s2y51E6RIgU4E0XJRWDNeafMAke/YS8a9GgKeg51mKUfcvu
73H32sRPYxQyKuVE+hLQ0LIzmZZYTBr4lDTkLnK7A4yTC1tCVmUKiKGdwSZVCilNwwWM2xMWNa8C
wmYQagaqGse2OqmgELdJnl1IGzo7YzIPqQlQB8j/XHCnr0kRguF2er4c8lvXaPFFpAajoUzHtQX4
EXAhjTOpA1oBX0mxoQOJeKyh62enHeJj1yNUzf802On3KA++Zk1A6aQBGXL0PruiJRWvheC2efLS
0FbrPC0KxKS1JHlg5QfHbJ2Vrago9tvgzVa8bIL9YAhogjab2UMHgebw4//9+J8gYZbOvbbZWJVt
7zJNLtrpmg3ODbuj+D4w0Uv0XvFaKN2vQ4ABKrZwcYd5ee+kpn6J8uHN1VO21KEzLpKIRLIfdJI8
Vmld6kTSHky11DQ7vyXVAvA/iXPyHpUdce2hrfV7qiKuLjHURdoMztKZ3HE/NO7TBDFwqQ3ebTXW
9XZwYmuDGdXdhHo9LCL7OCUmgJ0uM1dF6dkbId1pg3d0ZTSldyiLtIA5DwTB0yLjMOWOfggbGhaj
sKcKZ4whOeJ6WTYmMYJJxDRfzzQHBWzGr24i8v9HF7PJBifLsIjfO5xApylEjOCFufc8RfGiOc//
pB2wZ/Nkl6KsYAy11r1oxrWbhDheYdt7rescCeEpz4XLQHekSThzJa2CeqyIpula9gNINAipboO1
pTXzdCvdqn+BB9FN7qcdDtYWZq3cNA1DT2X4wP5Ti8KYyqYxjqO1iuOjlgmagjJwOqn+8Z/76P7T
2PNPk1N/osf818DF/I4w8/79Zzxe8/h//c8/jT5/+tRfn/PmlxlWxgwsdN80f+y1fnWY6fNYZHC7
xyYGvdn7Cb/IlCMcAY/MnSGMfxmAdGyyrk44FG+q8P4WfhGn7V+e81ALCWkBj/G4irBLmw2wPw1A
oh4JcSUwCwhTp0+slDULeH6x81qW+UHLe6BkjUCcaIsDfZ0ongidjs5ApnZhItwpD1NOreU7oleL
iSpHPA0fHSp6WIUrjx5oNjjrkGBBA8i115IDdlDKSeIJNkvHQ9teoTmDz7cffRWv80AdRl3cx8I/
G8p4ELHOTTiwHg1TbBsNYHsU4CwPX1sv2phJdtULbVt7OGKHOXqLTyzXoC9INk9vdWEfMcORZi1P
WOw2LIupfinXbdATNUhOmj/t8pgKXeLdV7fVvgPup1qus+aSDuLW1oL6mM8gUSSay3UYwcD3vHVS
+euySh8bn+KNQRy10eJHIsCdVGdAV6/k7W9SJZ+MZHxhg8G+AgWefo++UXed7HHyZaP3UJM3Huda
rnHot3lC7ZhPHYZMd87YIAuN/o3dmNOiDAZoJbUlXgI05w1lzf0acZH4bqs9Kq2C0KJhS0m8F4J0
07oLqAhJRnrnLS1zXpoQhprh3ZejdhcFYldZ7jELs2MUBedeVtlCOo9RMZ6rLNkO5KjMNttVtlzZ
5WAuLaPJV51n7k2rXWcccZWSh6mrTlGFMZkoUJD1lxTbHjeYdTW08dKu3EvU2mePgkgvzi6ylrtI
5JdOpyvND/Lvek0TljYtRCYp7ZnDW9GOgsW9WwQvpV0+RIyV8SjPPK0RmejBSFLITw0OCrTHiEWN
jK6N5WzdOiHFXiCOQ8ME1FeY3W0gSdp0WEQc4q7k1u67Tov2DXFlZ0TtwhhjYTJfRD2rv7o6e31M
aSdtHgvLrJ77MjmmLYPUxCusUYJH7FCgzWohRTF9d297bKFoFADhEi/5b0L4IlflFbl/BfE/x/ih
mGTm/aRv5KDeiZuVOJgV3UP9wI8ktbe26s9pNt7k803YcyP1psritSn9E/EgUgc2i2CjFWB+dWdv
Qte8TlV2qBk9l7njHB2bqHQ51DVKXfxYMEYizFvf0lKRrnfPpsaaucJZuMx0FLFwrHiYESnnUmt9
ZuO0q10CMpWBmUK6jbMk8vHC62vTpdY9FI9oUyONLKJRnbS6WmuhEa8IPa4cLStXUPMUhrRkuDDG
flUWPfW9Od3WcsCV1kERrxX2oKloLilbggIpZOnXRbIsffsNWtHeTcuHIDLWAzWy6LikfZo0xQ02
EnqivFRFN2Zrr0L+rBb9OpT7gnIiHxcsilbzln1tG8swnQtvIUweJ802cKlQoSzxaHsZfz8EjeQu
J3/3Agh25oqBJaoSmmBpcGBy6dYsYcvFVDafEN43/NRHAeF5hQMU7HdBbKXuw20QhZ/stV88uAi6
7mD9CledS+l9memnNnJPgyluRDBcULmWPt2mldneGrK92Lb2OZXeY2zOTiXH+Bp47WcDmy4EhQwK
Rh6HRnu3wP3QgMqyBcQ6AICbjqsh/nQD3R1+oYLhl9XttnRAEeZELIn5VxuXtoopY4nQTysr5e7i
D9qOICGwuKy5iqEjbGDY5HyGO73OyIRnE1U04bYbmxfO2yMX0WQ1KvxfKqLMyk/Pk+YeFRo5IRjz
vVHV4xCqG21s1iZY6y4fz65k36JoZwL9vK6KTF9OipdAPcm11Gzo/MaHFrd3TWDtWL/wqqEfxVAf
6ZyuMWxyd4JOPQcSrt9py6gpbowwudNsh0APu6t14hjPucnLqUB2gTQ2cUBWRNp411p1+oSVaS4d
b795joJz13KKIEQJGb1qmnkoBo+9Fl6voYiepBHXiygMxKJwkLzgDn0jE7QZ3OTEmv3Fclp/mwTa
u7T6Vzoargnb1CV7vNc6y8tNABaDC1VKYC6T18FTr+wWPsOJHKUSuTxbteQxxlWWE5mJK3Ctb3aS
HnESY+aISZD1/oSNEVKYRf14R61OZMrbavDvg87Z+U5y31HYYnDhxGWW8T6Kkhuj11+UXcu10cmD
2bsQhsOXys47VESgC6N9QwHLCgzbkZkcW4mKqL7qUeykXgxY+KhWNJ1tKDjTwvbOnkoSlYqlfnTX
43jWInnKInuT2bQgOOIwjiQICiJz27xu3420W8PxxnUb5E9YSljJzXaRsJ8uuTsewjY4hPn4TJIi
fnJy/2vbSMlD0WS2Q4sKczJtvAzoSaG7uiKx6hUH251YPs82WtysUwGs1ODx1he7yTPWXi5vPEKK
S8igrAzKwFqZg+SNO8i7UjhrvxA5FOIAhBxJYmVoL63oli5WgyEG5S6VRc+ON2Nd/P62VsaTR/eA
XvKckVKwup+e3UC+S9v9sAC95zUtwDU8htBpQDnAWpVHKx8ojfQise86J+D86o2p4u+AM7XRrHWf
WatecbL4vrptBKEXeARL6EXTXaYP+sEPiLUs6kGX3wbhqm0y1AyUoo+OMcmZteuO+lfJSEI1emD6
NwFtkTljzZiuvCFIvrntj6dL49z2eLXJK6o17bUrGczX/qrB9hO6L5Uhn1VrUJEm8fCEo7d2xyBc
hWX23pBR84rhiPGd0Tnvv8IQZOMe7FSY4SENqQMPdn41kpJtOnMTeKyAI03Eq8nqEETMS9Tk91JH
gKFBcufGoXFPbzi+I91kbUVU7txIdTKSDGNgoRbuQG9pKpNVih3ApPSStavOVa7fIJjcCk3US126
4Z2rtXBwYriTDDR+uuSupu9hi8zIuQA6Q9yzcNHGcFgCF6vXgpUlQmsc3vOKdpjSZ/+Py9xSs68j
6tuDT8vD7JX2UfY6vIcKm4Vqv9MI4q8zuyZt+PcHmv/HNjS/xPD+XU/eTVh9/7cJGPGHI8/54qCB
z3AEW0eM5AO/jif2F9syfVYmNq03Fma4P7YzjCc08prwl6m1QpXhQ3/IkA6yJn00JGSw0pFo+Q3s
ef2F+s6Qx2gIEvTXf/5vUJKuOC2a+n/8dwIbfxlPrDkaaJCpYWdHmG8uyvx5PKmqOJy8EVKQUs3e
ZH295cq+bVoMtOacQRBzGoH66nQdzgmFxuChOmKgXfLNiDU2HH/PynsjSDXkmTJPQdNgcVPxczJn
v+cIBDqHuALhssClmCcLj3a/zLPUBDob9/f5qM0FKFsRsw+hxBxwzA7IwyasrG3Rq/LUAI8HzpLg
sI5eLfhBIGXLB9OlZm6yaUknDId/rKIlrJRb3lmPxtyoLududUaCVUjZunLBMzFP1fAnk20T9t4G
EDwVGnNLu6/T3NFmMd4WrbhlBGIqoM89ptcdyexBC8tx3RrygdK6VcpK3y3FyZwr4Zsg34z5OG+2
SdZNxRYeFflaPX8CW/19KBOy6/TLDxYtmrZyripzTu5cQu9klrFtICvMD/dd4jsvqU5lvR+NX22I
WHrh0kFLq31Iu30519wbHYX3iSkuWtS/4bt9MSkqzyPce6RNUAAb2z9K1V5LN1/68WBAHcP9G1sR
tLY+ArUTmfMjz1c9LRIROaeJHdzBwxy9oKdk2+nepk34WGLC8bL6pj3qGY8dqRIERK6X3mjc9DGN
nUZDcDpO8HoJywlWfLcxvrB6WNupSyKIiwej5yjL1F3obQ5GbeYUmW66EpUFRZQCwNXATZlX1sTx
2OEvnkgqteqU8fMuDJNvDQRRiDGh8baGaPZVo92m9M75GWTTaMpvYaCu8jY8caCpdQF6Sg7Nna65
7lcdSS2Ma3ctPX4IP/A4Sf83e+e1YzuSZudXEXQtNhj0BEa62N6k93luiLT0LmiDr6FX0oPpi6Oa
7jo93T1dAgTMALoqVBWOyb3JiN+s9S258VIhTmPgvxnINewSkYrWbyRayTGFNC0FRiUUqcexkXDN
6DwWrf9oEYLERgNaY3kB41DbM4EE3ZOKyG1EPtLWfJtaT2IJOBNmQSnHx+U05qc1WbD5QRkzyEB0
Ze1LZUvCL4unDEAf9/eVtKoHfCYvs5azDAg5kLdIZC621ruIn8oXrYFBzDqDoEMXEyGQiWdq1hbJ
TJ2h6A7n7sETqA07t4FmjL6mR2cTdF6Ez4PsGS3BcdHiUMbeIjTZKHjqzBWg/sw2CX/qIkfF08TD
DXZQbBP5d4/KZzCoNmot/ElqzGQCLZBbIOjzUAdNDj6QlhGdUmgJLMe5h0L+maIoWtwCXGtP7EnP
XrNlht/Ccc000NUDISUgvFr5uFsgvtYpg2MbBqwNCzaECTsUpAC1GhNryOJMnCWCE++uKYBzlaCm
jaW+IgeOUOyM9nghCJyZQYnWJ6OGXMmFYLdouSOC+zHy1a0Xja8JqZkE3maviBkffdC2EbjDjJjd
dTNiqM1ZABrSekrB4boeuBfjJyEXVO5Ecexpdm6lKbrZZOBcgokYiumFA3FgKAxzN9H03cYW53aJ
abcB8xYq/cg1qLdGCEwlJzeDpvgqQrAPfL1inTCHjjXrFx7FxvGZ9PYqKFAdYq312gxEBbuVyHZf
6VpJFc+pU8EID5BYIhHd95ovLEEvOkZ87uAtEXXG1lkjmFINY5pNInmhM5lT9Z3VRBxNJOicnQih
Jd3SgLcQa4hjlJDXO5fGNHIu46mcd+TZQusQGMLyuWBMG5bbGUVa3nnprh0Sqo0u/Ejc+OhErMRF
ZnzOGP52i2sTZGZ4Fk1Qmr5QKSdgRlF0+l7U723cC6o3v42e6bwVXgwm0pe48av9XM68Bv7sH91l
ui867VSsRwLO3Lm8rQsjPsqcLtx3sOLx/fJ4l/gjrN66CitZX9Mg4THEv8YLmyWY8pzMO8SVDU2E
GMxqHoPNglCmP5cTMhzEMdF1xuCdu6UnZsN6DEv7gjPxSri42QrvsCwC6ldJFOe0OIBi/XbL1/cg
m+6DM2in8cNz3B/GRJwlBAWX8Nk9JCLm2U6MuGp6HWDibRdEFWvTSu6r3Kw2S8qrUcmHsRGPTQyF
1xzuDW/Zj216G6joZiYI3lPhXdQAB1UFoFfs1GKAH+YbLx4Jcqsx7I4i0aMmh4SzsYO64sXDLZEl
UB8bnS3OWW6rgQSuQV2l+EKDrPwcpvGVUFm2FmZpQ2yXjzVkUq4ga3yucu/FjOK3Iglob7ME/Irj
/LBNTEGCR2Q1Tn634lK+mWakf7UImbOTIxJ3xZ3WjofRcFN5Fa9EGrw3Ut4vQ1ZyBFXbsh8RY8Qp
M0d50cPjxaDIgsFenpq2fyXP8bknYSQYuxfXx51J2sIFZqtLuyiyY1PL4AoecJxtbWmGl/lPf9/M
gfkQhPn4MGv7X6mNgIG2BEptDuQH6E++Ngw2OAfZ9D6TCWtuzExseN9/TDMCYP1xEtcWRgkBeO5T
jxdxIrOXuw7gTIzMJD73JkS9YeaJn/Ezhvgae6hmC6TDFXyEa8szzpG2QPZ4IRWeyDFTd5M2SZa4
JWs1vQcpE1BDGyn5xRyHCKyTIEGPgv0IhsZSrhoXq2MeEYSaci4r7dB0erphLJuD6vrN/6+2MX2E
Ab6Uv7/439TvX8XfqLf1r/qzGAoJlOdqz4rlmLpA/teC28JWjqYJKRSedDJJ0CL9qxyKyBOBEx3g
hYlFBRr17wtufOGeSy1uOf9HK/VXBfY/Krh/Zj794jhHCWD5TkhLqTVbnm4Ufl9wRx52QYdnjzvG
qi5nZsNsMtMMDKE1mW9VmQ/rSFrXbgzVAUnrvBExbM/MYHZsejVARK+ar4KgtoxNMxabYpxP/MiX
hEIeumLZl2P+NnXZF/vS11AGq9KOTrlsTBv5autep0H6KRz/Zg7tH46feiQ1juY+QXRNtgOYYvWa
RPl9ZxnLBmHhsjIt/dos5gWLyucsAjDc2joSria4PM8rwpNb65An1W6JCb1lR2uS/tgac3zpeOoD
zjCNLpqstZHzKvW2NlSOPqnCMfz1GjMJ+lI4UZLpWyO6TUWJHoXJPRfyW5dYt7UYkC/TEKOCJwrO
CHp7EwwoTYfF1zl88I7E59BKfjj8gSs42G8kUfygobmIyoLRil8piFAWiwEqCntqk61bVnu/qvFN
Zjt/xCQdDvZdo7KYD3ZksYhhUmBJPeAxJCVjrG6mqkDfhOlSTYRvkB/J4P4HGYrgogpQ/3lU7dQs
vZtMsCoPXSEOTcu0alpgLPthRihM3HoroO2cZ8byhOU3PlfBF3+XZE1GtUFFjPHaWsjZ7XH65MK8
cclszp3hk8/G2Q95/QkmE8dhXhxVpJCZsTmZfIL8jOCBw+V+CUuwJQxGdxOqKiTZ5Usb1DdidsOn
xBxe+yo4SZbit13oPI10d9gFpyt86PGmFdlnWaknVwpj21rttZWNAMjQ7G1kyCy1E8Nbi7B/Ws1N
gZc1CLUP5VgNDoEtdkjZ40lxORvCu7cA7V+4MsMxbNqIPvjlKNxhSln0lAySqXzL57boYPVXdred
uwETNIOL3dwyny56JMayIIA3ye0PN8SpOKKApg0kBDju4wpvLFxSJfjMm9HCHz2jJvc7g+Cf0cZW
zahyyWvnIPFzYORqCa6MMYwHfnyey9hdUTx5B9nWwBrGGq9Jccb5K6kjLbUVCCJ/0BDWe+ar0cFP
RiBXGeGCJZ561yK2puF2WpnZXIBNxWtt6251FG4AQaY9B17vXY+dcRxMpqGV46wCx8fwXjSbRgJD
mSfp7GMyFh7aMo7PQZxU+8ElaUyo6LpANs68loFQlQH1LNGtSWH2ZE9PlwmQdqcaD2gS9thpuXJD
9kLMzUuU8t2cbBxcw7u+Cd8cL936fjl9kXigARMAxGLsOZediSszqQ3yasbkbIu23aRkDa3yEaGj
nx3Nyd9Ejfjg1GBMaQTUkLyidgIRULkKBvx4kIHa525zDA313FWqRwrMnt5Nvsm8f7RL/w5r3B6/
G7ybNrlYCsTWQzgSxpCPVEg9WClXHXP2n21sv/UV9pgKBci8NIektOGIlSi0A3k32+K2VRM7KLQD
wm73FjDGYhjWc1Le+2P2isOX9QE0urS8RORzXhq1Q5n8IV2iYVrsd0k2X3eW9R6Ewx4IIKmaI6G3
gQGRqz34yrmq3LRCLx1fd37zGQN8j4cCcnO1bYxG4okZb+uQjZ9hcxJNfX1M8vnb9+IdV/2luQzn
noA70df3VlHtDbNLdikdLYuF2IOQ32KqamCYKX86BylrroQhvknaU0n3t0EKOcHaB1YzJtK6GHwJ
A2G8Mb3hNvLh+Q7soqS6qfxkGzHadk3/pkahrgxcPxHPoYuCAZrDLs36W9Q8ew6Xe1MCp4+NvVWF
3zDoJ+KJ7GMbskDM85z/E5rHOgPG1fS7tpTvcTd/yDI/om370WKLQyvTUwBbyLdLXtBwOk5FCszN
Cr/qeOFxQjCxIfj4e0GRv5/sco9eyDwy3w/2EEp2ScA9APPkVjWQ6TgCKdALx91LVkBr7jjCNaP3
IU5voml4YKZ83TUL/I8kMLdTagWEpAzPquIISRP5wwPRXI40BCqcs13nqP4SX/hskrk5+3D4p+rR
9eJkazHVxcbW2XcTWKtbVzukRSu64x+vrf6uouIX3cXfnnf+RxZduFQ9f7++ui7e0uqfSJ/Tv8tv
9ZbzJ8v1LEQWvuXaGPD+XG7ZfyJZDlaP1p+7LrinX8qtwGQWii6cYG9fIAT5y3zTgwYU0KRgO/6j
8gtejH8z3/SwPaPoFIgwwPz8lfwiQSHh2iNmzAlRY6OBFpGpy44if5UpGIjgXNm4HaZ+3y/Lwcmh
tKAWtuFh1DaWk9GLPnDn7eo8uoXsd2hYdoy5e+XSm7egWCgS4qY8jT/Xmp/jzaxpG4TQLKRgOTsX
KGHWkbZrchNxDcqYOZF0q2PTBez1newCM9qzIcQDy4T7CHA6F5NYuTEnbIg8wZytRySCwNAS9dj1
9sHxqaISKAYGFtBEbSxJ4eLMtJS1yE7Ek7BUgeWsPozAvBXduO3i8eDxsrPR2AfZcmuPzXs1/zBn
FJPDANQESiZcEgRsFBclkAqWUXBohryHYmTbDqMLlF4A1ZLDJK7jCWaJ79/Y5vySxQGNLJuIbZxR
bo3JfRm1ryGYJMko0eswxqXBocyd14rFryOxw6pwbxnkWtf8nTIELR7bJ1lDPpkuGju6dtvhaXTa
pzJx7mThraX35UIW8L1g7/pUuh7LUzeqV2bdbLqs3XZLs/ZqknRCtFoZJcJsJm+QQh/zCRRGs7dT
cmW8hnzvKb7PjWhXkzOxwA5mWE05VTPMbe3logkELsvGf5UWf2azbGZZoeqssiNUiK3J7DNqw1ev
7/cznHd/sK5Y/F3hi906RkqgX7XJGn7Y5EfnnuywvPG561IrflDzZxdNW8s5W4z2mvBkV9Hay5KT
zxin8fJ9nuZENpWUDUQxQLgAl2uuk1ydeoHdeO7FsSqwnXmodFc+ZtoVu71jZYL07epVU4XJk3Cb
23oIL6K0+iAuROyXjmZ+WfqTlX0PtTjjEdizULptQufZrYZ7ouYKhLndoS3D/rJL3HGDE+zchstd
S6jhiE6VeTSGAQ9Jsjevx5EAORWcMuV/tz1UNuIRe3HCJ6WteisWvSQLpc7LTJwiMk5WXAyeyz6+
zxhMY1DT8kuwk6tU5zGaBKus/QARsYthQ2c2joQ3kmV1BUWPOEf4Rtm6J+LRsPYDdjgWtnsopUQk
ToOD4E/nQuY6IVKSbLOzdWpkN1hPEzGSUQfJlJi+Zg1dM3uNzMVdFW1GyzCKLSrrfVunxPI5j+TB
HxveyqhlzeC0Z0wduwFMh2tk64w7fjDF5QhuJbJmyLWMi8APQFoGnwqPg8XMte2TG5JUIfpIZuL9
RUlJnFTzWrYx+qmCIReFjZju2GNc2IbYeCwj+BjWNrvijESKOO7XQvobk3kD+RBzqCcqGfvbZb9U
SttW8cI2fCy9PFuNvbOH/CqZrL3qPuU8kxPonkpj3LctxvUwhYwTALglwdvB7qs6B9uHcQGIdeNQ
eDKHfayHV7tYQAIyFLdeFqIQ5xmxJBpi1hz0Kpb35EClYhlF6bxvumRbipFExWiLMYLTbh9anwmB
NrP/jpUH0122iot39uCk5730wbTueCKRPK8B5ZxwmQHJf3RmhTE33REvAzyHhssorssgXjcMsZY8
WhsJBzClE3Y9sknKdTYg0BiBUo8KFfEcbAbYASObaoKUyHChAtNKLprpnJW99dS38BzIadQVZhUl
sLDE45ACEmz5ravqrJ0YCIsZ47vudTO7hwXjsj+Yq9FVVx40nBpNNuLv9czQiN+lvrIYubI+PVdW
fjfX5lVZYZvsxk0SGAcPCaqDWf0RoR/ntDu/IhbY9Cg6uvQ4KdA/YBmv7DG9oMI/RbLHQdwZ2dbp
IeFUzIwUG3tj7hA61VtZ8Pou7mmaI4d2RyEAUHutUW0aogdtoESLOUK8nlAt+3sGkeQfNHs2MrsC
gpHeHSuIRk3FFoxGXunYjsm+7PF/tvOCGEIgVv1IUKuY2TO26R0z0i29/bYuu0se9+cUcNJUkIra
cgepS7yYOye8mAv5LJj1LQSvwBtABEUEimUj/uBTrsvqKGAyJfWD69L+Wdlhwe3cLgZVXXaVOLR+
zCVH5Z1KEew6wE6JlZ2yYp+iBJCWsV10ovzcbnjP7goXkDAs2qaNdqq9tdm2OQ0a4dxljnizpOaR
T5DAtfQF4DVKYLgeI1ZFOa/y5DrJDLQP5cYGNTUY04K1E4tswIBe4zYMwanIcaoq+3IJv2GmHcAX
bZIRE6v0SJVmpiqRaqkeq1m/g6c/rf542fi3C8Jfasbn/0TRjn8W3Pr/UKt7+irit/Htv/y7qcX6
t/lz3SjYBAg8OKjs0NsywfttMW7/yUaAC0fL1mzGvy4cyUIIEegyRmNa+MtiHDMlo78QpCNBFcSw
/4E5nev/jcIR55Bew9NJuHgrf53TFUT2jpNrcbipNnkEF8J8y0gD0vGW7oA/p0ThxRjCZuGcmHJV
ebCTek1RijPrW6IEXKycPBDDy1CodNRNmr5kJzkgpgAkk21QuTVNRmcejodMc5s8DXDSJKe06Akk
Be6EzzhfCdgL9pROK0cToLKyZBXPwC2h9ZnTBrxVz0oewQ56yyWKt0YXZsdE4Q4wi4uO0LQ8YJ8S
WW17bqv3wZ9uJSQqt5FnqRrQVBpSZZgaWGFhN9aifBOS1VSE6xyyFZFgp8JJ+mOooVezSzZPUi9H
SFvoJTUaq2oo7lroFBHULHfJDWLY+5cKnpar4o9CA7akWX4xykfuC3urkZSxETSunmq0mMFzBY54
6EZ4ajXkrtJzk6tCw7zGnLJu0XyvhdthVqzQJDZHCwZYCgtMCdbKmPWhVzr9bmG9jMnqzdUAsdLI
TwKimGIT3iTtXahRY6aGji09LAGNIWvgkSVuiAB7uZeQLFtgZY2mli2aX6YDB3qAZobdbOPGvpgA
nRXg8VFTOesQBJoXceL75alDLheVzdrPfCJxn2SXMvfX+j/NUlPRskF+YyekCM+oj9EVU/WEq8XH
G4NQjXt4a2czYIPmJtKwNgtqW+xUC/dU8do2yXsE161liSfj6cmuFo2dZ21pQ5ezNBsOKMhjDSyu
09Q47+fz5CAVLQxKUoJM7a3IqttJ8+ZqCZ9jEkNz6FnEoVnu92QK7gsufRtmnUg4WzXEbi7dYwbV
rkE5vIJTgXEdYBCo9vDSgYEX4YBdfkLxQOkjD8zerGraTYN1ayVMAIEE88ucn0K4Jj11XG+zvuf8
wj/l5fCipWtyctmp8Rkjp8y3VW1Df5xZdSfAACl5/VudEBpvijZ9SLiAZcB3X3MrI5Y+OyLnyhEo
DBpm3aZ4VZTZAMU7eiqyhX2zOEfFcmQz9ChHLhAnQf+pi4Y0LNnaTOmH7XTXrEAhRrkkqS7LyXDZ
evuddg415dcM9I2cphEBsbyLQ4vCX14QXLifA6iBlEUiF1svmVmEUTalJEEvlFE4fdOtnZqkKLC6
zqboRLDWhWJULU2moQu4wVVHqaaVAAMGV9S3/kGUYu9Q2g0ZNyulXjwpvEDwKkyKwGbML8xgfqkr
6Kbsp4vEOoyu/xpYw7gaKDIHR95WFJ4UVdetLkZV6L2mY0qJKgD9ifgh4ykcehtb8XC2mGmiJt4N
XYfvVh7Mzu/3i7K2zUwaq6dcXWnVyZkKDIKSSjAGEn3slPFnprOQbWbIm4B45KqBneRURM3lV6Bv
rbWczXBrlviLPB20XLZeUm+TGAUwdaCRqvhuIqQ57axkb45JSFAXlYnldAfGPs8+KonJroh+brgb
mESLx0osLD5LVV4Jmzk6msYq3/WWFR1BYuHz41NHUsrsOQnto0xCFn5kyaU61pFssO5tpKtk7NuQ
EVqgVfbc+lpAlt1GwfhEzshnbgUG5zDD74EpeF77TySP27eUNaeYObk5MzD36OBQNrywSQWPa8zT
rjWTfhUyZ4+Yt4/M3V09gJ+ZxBd2Rswuo/moLz69NnH2BVN7nUKBlPMG5hNhSXqwD1Nlj4s7QhNJ
/N7SfRHnQyYh2wBTrwXcsgS1o1cFJM0sPmatND6mep2gmti7sfWKoQniheZ0fM4K+aNy2pjx3bTH
+kdManbjTsUNLutsberVha2XGFEyXAob40eUjXfoxFHLsN9no3sfRsXe9/IEf1NJjsZi3hkeaxIm
3+3eZHPSp8kPWTRvU5bp1Q+r9lh8BnrZMjiEWer1S6QXMdZsMVbXy5laAk/r2deQ9PoWsr/x0UIw
lduEY+ejKqpxYNKepHrpIxOQyp1eBEV6JaT0cogpsrmqcYY3enEk2CDh7N3isF6b0A8jvWJq9LLJ
Wcxzo9dPI3qiFYkxhMjq1RSAEP4O2AdYE3c712e+I3pe7Hzs8n1XAGfnivzBOVsfimi4LF0LfVLc
N5+9q102aUN2GGhe6x5quHmaSh2bpbmabhRty44rWJXoR4LZsXYWiN5zWtgEiZHsF6iBixiDwY27
PCmKTBd+dNqXMyjl3A9Y1nsBLWgVHmObyJ4l1RAqdpfHeQJiMDrS3oyRRxpr4CErrjVO5aX3U4MO
Rbb7/yYcKRtLVIJoPxT3gydfK6QmMuXnNm9E5h5sL9owYTuOijs5RKie6zegcdcx6Cdg1NnJLLrj
FBrowhW0x3Ep1kiCoJj6DQ7OdCtNaW8Xxc1XRfHDuGR44D0hL8To40Uw3+sWOfmsRgFXH6a1FHet
+dNNU/8oPf4eoYROEEX9QRTpV1xmJMr2MUExPlgG5QIg9YCFsYh5zQ3vi1gzzkOzeM8Lk4WfJfH6
iTDnJqYgiuf4dpI0lMsQWltn9NXN5JO+WZCAB7T/aRySu7FcXlmwP3QqIoHSTOl8LPz6xN/6WPow
Jw+ABPr6xQ7dbZ0Yh3qADO2SAtcaX4y7UcJ501E27rZIiEcZG6S4uIuqkYFVMPsfUym3xAt+d0u7
4ZVA9JtxhVSDdzTK9q3xxSHIyNaMzV25OMcs7IuH381a/4YcM/wrNaaNAlM4boCKwRK+RYn7a9Hp
R0PdETAiNi5Era1U/rEbJ0Qp5UXNn5653RtoxyMYQfKPEA+uTALD8d9+Y7/dkgOdriiQv+ucQZT+
4UgY5uR0tws/daN//LIQ/caP/W3uty/ez09Lf26m/gRd7raQjzSPCpeXxn/AP4DZKrvLDEZyfAmT
lxgrsl9YUyzkDs76u4rn6Cb9+e2JKX+apDJXVjY1uMiyd8TnFcWI90X59Jro56AbzHrjB4u5B8B/
43TgMCweG4PHx51oNTmh8lU82C+RYSfrcE5vqIRfzNEjMV2QE9uCRKRieCe54iNSNeLEaP7udDBS
ErN4KOUxy7MH+Mv9qtXPtUH2YbVw9uonvtHPfqHfgpHXIc7VVy9L5o79HhE3YwleHCKu7haCrboS
V5Z+s3jDCjxvrRbgfFfO9BgLdPAuK+P/N9Lpf24n8Z+yvwz+YdDA6X/9z/ztvUmL7t9vMfXv9FuL
6f2JbDhBA4f4GqqVVlj/1mK6f+K/EVsXwmAwAaLRlv5FCuIhmECPTYmsIwZ+aTFNFvj0n6ZrEl4X
+n+oxdSikl+kII4DJhzeBP5VOk1WIb++7UgwMS5bIcFC/ngaxvzdyPAEIolst301UN5MCAH82QE2
qPISIGH3Af1PO4Dqx8IdqVfn+w55QltE8X4YR3NFN3dwy/REoDCiJDORdBvVxSisD2WIXboASmwL
XmPGmvsyns6AbVi8qRR73dhnNJ4W1rFGoY7zoodqjK8KknzBOnWPo8joQKVzAbeH4ZPrnmTr3IxR
cFBLNl12JA21fXQ1p9F3HPYXwkD6NuffjgAl2CXkAoXduC+taTfH/kfYYM2GxZ8mbrSNxxC6Q2xc
Wj3ALTExs4fhiKARjQDB5yKIWYnPcX4yGXSulV8/9dW8T0zxBEbti7ThWzPhjXdqcRMYmOibTqFR
bEqFl4iSW/ZoRpuQjQwFe3C1xIlak3h5iNr+I48dUHHCpnWxmhUkcXaTiJS3AxfefLQmzhCwzsba
1o4ZoAZXVskHVOFmAp0OwzKCSkM4/K0ZcGWDA7IgKriLc+l0gBvDiD7MacUhrEkIYDoVUtxP4RY7
+gaCw4fRKowwvtqGY3yTo0Wg69qntYv418fo4QGPaUBc7lzM7jIILvI5OcxKpDt/wfA1BwjDJzm3
6yAkWMJKp6OTKeDQEXWQqcpTPavTaMftyp4cexd2Zbgv5oBvm9EoRSGzu1WummJfdy4S/sFqD3Nh
ynWgh7RROPnvURgxwADfuGwbiyjVILbczWjp/qty30z8WyvHRpzJ453s5sIJVoPy00NRBdFKFvMl
dko0tK5T7es6sd57Medg1ELjBgpH+hiUibHOc3CJ/Ck+YmJxK8YIM5yv8fVOSGeONklBImfrDr3g
OObTB6zMK6wACGBxB5CRfaPiVKxGGoijkMNL2aX5uSEnAQJ7UDFmHoyDW3HiD571oNB9EMonnnKi
XCm3p0s4w+l6aKvLPqofcHgdsiE9jKlzkUuDNyKwZxBJDZCitipfB7Q5zdLsXcr9tOU2UoQNrUK/
fHQz75zm5leYEK+Q1Z9G6p8zCzfYkr8meXPvltTR3ei2V20v76eyuexhTw0RagW+Z7o+960rnaOK
/cd5IHLZ4YZhPfQjYkJJ5amij9YDV9RWk4GZyx3fDaMjKcimlvbrL0LRkW8yQmmRHetWaqmo6SeE
sui58DkuxhXqgeBFn3QrBTvRH22Avm726BhJt88jJKldgnAWZWTjf/ptuUXKwv5Lof5KouFjLsZi
2gSp4+gxwndpLMNnnXFSbaKBRQRSILnJW4HCNoPz7sxXXcpjv7AcjGE4U35ImkV5P7fN85h7W/0U
d3ZKPrwTA4BGziq3UZZdS2fdz1BeVZaie0uNG0eT5WrNmMuJ0ztnmjuXOcMxSgX0ExIB14Wm02Wa
U9csqMjB6QFBj1y5F5pnJ1MHFKdm3JXQDIkWhntXaAJex5Zi1ZYgMIFFGLdR23r72Jq/ZBShETNZ
YFpqCa/hY046iKndmD+Je6D30HaQE0oLl2sqn2rbXRP3GGBh9hVhnFNH9eYrXT2l9dhhdJ7Hcwzr
r3XLxxz2n0vmpn6tKXSIyFsPg3x06UVdawbAX96myMFryCz9uPJij7RR5b6otiDbSLJuk/OUnWtk
0FuUrc1KFXxfdRF4tB8o2XIntrbD5IS7IIapWxaQS8k+vLQXv7mMOivYOG5RnriGPnq08FsjcMiJ
s5vAJiULJk5pKwYUVRrxYXOISL86qQxplh/lx5GCfFsNbAps+izL9wH6MraXcX7bN8VtBeRz0+M1
Ju6gcDRE+exWDM6iBH92C2VFv32MzWR+EzfDZZHMtOcmVmoG8ru0wTOcJsVX21R7lL7cV9V4n2Ri
V1XiTEAoCQgxyhlnfgyD+KWx1K4KlnvN7sxw5BMB3YOd7BbyzfPHoVoIa6xLez1b3rXMUCKlPrmg
qujeYHTXGOqWcA/asVmHKnvvTRFtkAGtc0Kc8Wps3bj4NuQI5gvUYZa9p44bbyyRBpuQB549P8om
trNy6k7IfF84QeGDtppumz0VoHU7eq3NXPcf+Kk2YUw4lpu8VgrP5NCzwBACOFkY89iNCvhjHNwU
Hpr3plc2hAE5HiJBVHQuBSLQML5mWU3ovEkMIBMaHkx6Y1ZHw7KylZNApnN7vibvabat14AXKRfe
DRJ+hIATis2unyfaX/vSwJS7GQKHEVnL2qdYNqoiOFYZ1XtfBFyzU3JixMlLFiostXaV39YMq0Xg
T7tMgd2rx2nbyfApkNgHM5VWO+GXFxX45yFuHy0JXhpON6edPTH7rhsfQXTHKssgKSn0b30UliCZ
SUZMLow8Zdc6PEs7iV692Wk2uTNjH8F0QdGTx7DogKxNkXdf5nFAGMh0Ab3h0RmKj1HSYschZUTF
/HpB1KZ02ETuWBuPY2g1YlNecR3r1MZ8jUA8xvmUDofc61I9kHZuECGo81xohVa0ABWyJr20Ja6b
fjDIjnRUp7nLOV7K/EdTVtZd1/XySuGy3c150W2nZOwO5khbDiR+fJvHSaPkSsM/qbEtCQn3it1U
uf2RHSIQi6ZhUc59xoRxDp483LEn7m6JPKO2yRmG5lDW4w64+MkP8Yyimjtg8aDRH0x3jWUCFGvC
tj/LQ3ObmH1ar+ZcTaduMf8vkhT+iZ3V/qu+eiu/un/5Rdr0P3791/8YeBmY/NxlPmX735c53civ
tEjpE+AV9Or4+d//619+1W+9gw8+znHhDXgYLdEpUbz/1jsQQYagCXCmb2tZEYum3/UOrmcGRJNh
tPy5n/q9rsnkpRQB7cZvbcUfWE8xE/g3vQPqmxCKtgW+JoRm9WvvoB3RpiTCdsNE9tvgD+YgyQm6
McRtpJo7hVGOhnk8Wxy3+EZ+pDMC6UZCmYiH/ZxWzxlQX1zlXkHHTgiN7c9URWk6UKlD1QdfmN73
w/yAYuoY93BTXOsghuw5ZVFR1eWT8NSX4/afSR6e/LRgyhtc+3YFhhdwZ0qdaZBOs/Ib+97tiwsm
bD88c/zOEbWoroWnNgzPzOkiuoe8XFt+y6VQZ59d3tjrKTK/CzdZi7wKVrE0roQAtWHPwibZFBli
5Vw5jcX8LDOdddYUZAg3BD9j8EO8yjJqfHWCbldPU879Em6jfrgSYX+dhTaUd8SSuVfC2gwRLFYD
dsyxH4C5eYxYwvxHyTyArNS3bnGeWx+mWjORsLvYR+Af8NQDdciD7Dn3iMixyvjOHq2bKu/fKgst
h/ABIbT+pRFnZ7qGLf/xjmzcjQKAEdfBfhEWb/UIrVrMl25LBWO21slpCCN2jKbd9VOrMTiMaEJL
ac30PB8XxuTbLon5NOBrhgmL+sD9xKN+bU+yBxGQtBs5pbd+Lx/wqcO56Nt52/mBtZ0M8DSNRQSu
iiyDsXNSX49De2PM4qVX4ObAISN/cXFdLeMG/JV9bwTBV2AY37NCADpZxnfPPFbGFSO+LKrv8p6N
2lR0J4K8u3WVoZsqovw6RA+zqmzzVA+OAkw3cbixBDBs6wc5SacA9dNIYW6E+ftgivrSrbpo3afW
UY3BVvDPwQweYuquOBnumHdma7cYDiFfEx0FJvx2RomvGuNmKIc3idJrkw/qi/wueQTVzuS58OVD
k6EMHZf/zd6ZLTmOXVn2i5B2MQOvJMHZSSedPr7AfMQ8Xswf1l/QH9YLqqjOTJUkq3yr6i4zySzT
QuERcifBc/bZe21E11Bn00WAWomEmvigUhaxwxN6cu1k2dSYhnWCovlAAEip3qfBtJYoevoZEveZ
f1CXYxjS4msqkvMsBgvFwVYyhgVHHKpzEOe1H12HaNZ1dr/saaEjA5ANW02Md3rHmtTb+J064bc3
o/F/OnYdCjFiZZ/E8bgk9nxsOfouS9X8yKdQPU6xLx9CM1U/tBp4CwSkkaaMeZbP56EeFz4ad/2d
zvM+q+kdg+/H6LhhypIWT/sgn5x9VlWP6PCXvMLEUcb9XhmNFxFlcpFlUIginFZRMp9SEpNMrnEn
ObcyUJTfTRF9JIN5M5sG+631kPrlOdXHT5gOTLrJcI35DO7b+tx13UMdZ0feBfUiZFYPeye8w81O
wCuw1LVQcqzxVr2dmm4lbC6iFo+MZHgZlXbb95RTNHRu4MUMMEDJn2Dsk0euY3Clff2qaRStDLDy
+DZEhOgoH+nK+eTDWRD6Zd/RqjroeDCjhvcWzzjVOClM4Q6mkdEM5TI1McHolrKSWE4XIfVtWH8w
0uutq+/DqttPeOFIotVoeMW0REf8jkzqoiS9Rj6BR73OrkM3PomIrLbMScUqHYnT2NFvciJ7Ymez
T0kSVOlqapTgc5q4z3Zkh1sA7qRRappnJioWzhOHKSPBIkMNTbBopiT1WmkWR6sLMw/0vgBjTPhu
AjpysJvsjqGpX1mV/xZZ8SXlS01CfAhbPpcVJTi9AvvT1A6D4rxz1t/WqfpmtP2HmgcE7Mhgwuwb
+2ptCER4LotHgo8DAyBUkpa+GJOcLLNKsmD/gQwelZCLcNbfrAl/Pg3yQM8hFnanLgzq+yDLYQ3r
1APahbPUqxTYWGRTh10FzV1Jq4Tb4twiDG+TKa3F1sEVviwLsescf8krOr6YRYglMCF3F+L9sgeE
5RD7RGui7jah16sDdxlHHd6aAuZLqJTYyLXsGBW9s8rQKFZ5VndHdiRzVea8ZIhO9KvIUPyd5lCN
gP7/lTTJVxIMYDSLZDlGHHE55MbkqxOvNEIuifFwicjHeKUJj5LTBUysglh11Qe32o0oEVbhNBnt
HALhmdWw3C/SgJdEhEliSdgcDH4+xAs76AGiaJX0Jr1yuAUkPO7S+C2Y1G8zwYnVufaHDr5kVU8W
187Ch27SZeKgUvqNKJ5e5Kg7HnUPUNotYu6Ksyl0uaNw8UCp59rxYcLXA1dJtY69YCBRITT7Mwqc
Hrunv7FEw0Oudm59BsJJdG+mg7xC2+YBif0YqiWFC6GzYSF7clO0e6PtznZAG4oe56u/7mn6z8nO
/3iK/NO8+F9qQMQJ/s8HxEP9Lgl5/gk++GtE5Pf9GhGd3wRmJERkHW+5Tpn2H0ZEV3N0ZkRY+yax
de44v8vLGhOlK4Ch6rblmny5f7e+m7/RQWuALMRuJNCk/yLa4x+MiCA9GDex0nNScudf/wN5MFaz
isGJKFfX99m9yhkd1XsxQgZTofFkSG+t0MdpFZqMjkvfMGFPYJx9CeOoWiv0UI2HQBfAsrSBMxQF
PVPoycK+VTq9DRmACVsFp8BqPz/rYpOqI+IlNDU/UqdgEAYpycyb+INN7ajYxbG3p6Mjx3Xl49yD
bXrK/XYD0mvt1t2mLMxt39hvaaY9yKBe+3hTI4HbKjcumRjXfD+Xjhlxyi/WZmM+95XzqUQTxM7x
qGWEcuNE0ElPGfeInkI6yrkKEy6q4ou9qHibU42+VIBfAdCpKWsaA2NbxWQoJ2Z8PsGnva9qTy0K
rFUW2aooko3qYyHlyH1OLHGhw7UGqZTC8Rs9VHrMyeFOi5zXts42do03KO2OeUn7Er2Vr0Ndb0PN
eUOX/zDDCbep0r72OCo2zAX5/Gy8j+uQpHma6asgLj+jKnjuO/eD9p1hkReIwSOOXHAmOh7voAO0
yzjfRVqzcVJ+Vo0IsjP9qcAj24Q6ID7xYK2UNIgFlFzF1E5cEpcHHODjZifSmFmnactdWHbtKs1C
mwm0zC917cxtj8PN6t29qzcfbqauizBHKGmpEaYTHfNGF304nXFXJET6jPmeao7l3cQWb+aFBy/s
JUQ+AdPUNbjf3HZBZSvkOV31+ppGcSOIdkAu6dZq/ZHLvP/dlZXgIGl7jIRfatbMUkunLbO8OCph
yeSoOagkfpWsCz4EZjjmtFRL5VHRMJaq5Ldha5Wc5cOoB5qZGAvDKnZDF3DFVBTChgJzm+bEhBDy
bcD4iqmo+UBmg+Sr5ZQ0KzwpJeuEQpooNZFVKanq5MlUgpujNIh0UQG52W/PwTDxsjWea2t04FuJ
c9N1H0nNvAkcgu903H+nY6VvU/R1DBHT29DkYjF0EA+kpGyDQIEvg3QnCAzOz3oun7rV7dxU6fiM
FhluEEe99aKfXwG8bk0R7kKVA6iBUFMoI9WJuhNzvyFxZ0D91XpbWdZhvieSIvifd3n1jCEdk0iR
bYVtvMoIi0YVVNldXU2fOoHmjcWhhReRXPsl3I0suFHz6JlFv5BGwjWAF30Q4FXRWUJ4C6baQjcQ
7SSNtLqkdas2PtSBvwOhiGvVmIAkkumpqOimD4wXDXqKFsSb0fxxq+RVHWLPDtpdWnKjJju4mNzx
3LrGTvjJVsvaHaPJ+AhBZa9p8HIGtd1parWLyJwsK+ZVXoTFKmkU4DkdkqNW8Uio1GUUZONqqqyR
0T3aMDQMCwwZSzOeh8O4eRSMUjRc4fTHIs6mk6eebKmyyomyFn6wlrb6kSqsvmZYiGUvK9Y0pPc5
ZruHXO2BzrxJp9/4WuPxFbaFneOAUw+0/kZemKQUi4EWok2TCobEWju62LgGQVLF9tDZgOGo7jWE
fcpzfuWW02NNnnCl1jA/CywHVX6cmANicg6czFLkq0B/ZmJbpZjZccqZVKAZ8d4F2QoUrPwwuuCp
aSjosjuWKFdU56FgUihpx+tYiut5O87G4Mun1o8IJZuzNe/QbSRJ1qYNKVp1F9nyp2LddsV4dvxo
L1gfyGhYfApYL6Okew5NtzLTS0e+L2B7D+L6S2Obn5AxI1GuNLb8pqGVQiZbVIZdiwqgT030oPJe
QZpHIiCNTmluIHP+EuwlWVNQMSPrhxxtoUBj4CQImBrVoSyQ9bPpzp55ngVbFqy0g5KL7zEePrRQ
UkfDYlX11mfQCpikJatT4W5zEiDI+fT44rcTNtYX7LFpHl4Vs8DlIbd60UOrrm8h/ql1BlYtAk/q
TNm1jwQa9JzOCkaGYlvwGaGO7q42YZ/GRrd3E968STW+GWX5oE9s2EAqzCDaCrOckEK6c9Z3JA66
asDYDwWwTrCNGyQhNZSE+rH1LfDutjwFiRbO6NF9UkVXqMR3iZbIrWZNJRy84sGa/WOBgvcoaKO9
S9ZWsSHMWHbzHDZ+fYwkKQylIOlr+JWyJXwWUZus1cvEmQ4o2jVc+dZfaGb+MsbzolBb3KXwVAFl
yT03mZLN2Bm8Eypi5josFrvlFFa2+i6XHDVJCJCu7ra6Sg+Fntg4cfz24ibUi4NWWfjOAF+1rd6B
gw1rQc3kFJiA+SN32ZNDwuWfkO3seKP3FC6z0wC2o/e83mgSERuUZbCq7WZclUF+wkOVswJBGCgR
jI8ksj4NSH2VbD7loDerHItj29unVlQvgP6eqiC9L0v10OVEacIeS3XSxftCn9RLZwzT0hDzFs3P
tFem50jrHGBGk7OGosf+Mu8gmGqTVDmip9u8G/ydGYqDMSXNXeYDweS9pDxPLVcAzR4eWzPZRiSg
QH/UO2eCOhjSEzKWHC+VLiJ6J58GlZxpMTlsjW3u4CuzKUiMLfns9h2+Qssc1hJRhXgQqqyeKu6r
34i4xNfWl5//M2z/TY2dnRf/Ythu068o+Aez9vzbfs3a2m8m3guN9lpBpZGlMzb/kmNV0gKGYdBa
ZIhZe/2DlQMN17EwhWqaTqSUien3Wdv6jUIkSBwa6D0hSIj+FSsHiuvfybGEf2yVkIAwEIxnysif
Z23IlqWwfZS8NPUpOAcX0eWzBW3TuBQW1vWTEcQfOLtiL3EcTBvuF2Uw9UbS0o0RmWeoGzLEEme+
T8Ma4nY1foU9LPwhm+nXJYtw8m1EGl9/kMF2NGffPCEJbSX6wIK8Gi37vIpoLASnVybmbtTGgqRP
eBFtskWfuvVVdKdTr+ZrZBYBB99XOdZekgOa4mAgKfhvz0duvVUFpsSxu4tyhyp7PCX4AW1vsJzv
QC2PghNur5qXRI3hTgw0ObCXmvLZbtuNohHnm+Y7ETvvOqmGjegd81nTiSboRbKDSrcbNIf4EgZL
zucr0gIIOmIz8Ks099I5wLu1s+1NV+BpLpmCIyt9L8njLRWDWskk2M79aU6ofKBgA8wIx7VaT3j8
xvRMCXq/creGpMBk6nZz+4kt0y+77e65Z5OS7dQEETX46mzjZqRzj72pMQf09aLXClZzeyTHJq5d
SWgxFoF16qryioOVM4/IX1qt3RkGkSXu380qrlJ6cO0W1OgwiJWTmpccqBXmzlTD7gvMFKvlgitj
vgS+zQCAbUxGeFvaXnnS0nHwRnqNFiPftmNhwD+OHL/fYJ04D1b244TUe4oEkRFCQXFnlSH2hnAt
3XLVusXJHOhyjYTiqTXX1ZJDOdHeYVzNbVGd495rFmGK2mb8KoM3XodwoWPzTuejit1mP2mq16Xs
f7j+WVbMjZuGL/YkZ+cFbe/+EM6P2OERIv1P4icnRyF+qguHbTGpvkda9fAJhE+yaY6GOXqDrR4h
pW4HGsvxEGY/uDpBcZgtyc9ROVtxrV+HyuIV0CjEQ6fuh1jMxq6sXZsPe+zvz63E8BFO6sGV/Bma
fkqVylxIqe1SohoL3XbPamQdM/zTBnSNZQXjim9f+E22uVhUkmCfOeG7ybp8lbv5iR32gTAEx9Mo
rl8DhStvqpWfDSXyiIWUcI33fB7y0k17bdnCQuUKSwigGluCncPJqsQ+yYt3lcZNIi7jo5azUNa5
8gP0KmJyE19QDziwJB90S+60Ngm32Lh+9FF9FqM0UVkbWIa+/e6Pxl7SpblW2bCp4uFi3wtodLHM
XwYaoRXC4lvJS2OZZzltttyri9HmjTjGlMsyG058aSxKI69d3dah/cbUVhIyHLThLnHrPfMpd8Ew
izcmXdPrtCFlWCcDrccNAOauqtyTLN2j03avWVABLKHnq7TKTZrM6DPCWQAtJRghmgfxlhPKqAZa
Z4Mev1klon3Yz6VbUiE8E2c8TcQA1JN6szGL4MaNGXYzEMxeUQKZ7lqCmI0s33je3OMgU9DicH3Z
Oq/Q2Bm/+in9cg3zvgtBEBJUoEXN3ykS6lZS+ofWjjxDQ6Ll6TLV9N6Yc613Ej0VI3F4ZeTIYdEU
O4Ms2ayqOiPcNEZeHPnEB/X+IVIZFIeymH3f2fSJdVc5lzq8lFTiZLHEbZhByWmcEh8Q8tqRy8ai
Qso7NnAHk1O81In/zp98Gwu5T2tUZOpL2Lilc8jg82MLEZ9V1YVYkshPVCWjBP9Sty4PJOdDWDZM
eo2ntt7zpGPV55qxSDufhHiigSqn1tYP8bykUvI3SNq3nvhVASFUoZHNgWiupfpD7IakxbMRO0ut
pkupmddgYgspMuO1Bs1iQOnHScHyprpHui3axWCl6rY1cm1VdnJHRgztUWjHyHL3PpllCqv3KlY0
SIDB1xCKbl3T9LZGLSFFgk+vCPL71KW1rXBbHizOgwVUDg6TerLHk10fukb9bjFV8AmAuUVySLEy
h+8roZGiiIp7LSr2XRpdy7hbp21VkPKG3+Q0arTRXGPbkkGzgI/YPqxypzk6gY9huC7itRrRg21I
9Fi7z76nkmanMKjuRZ1Vix6LNWN4mHsWBL+cTycm0gSkae8+hvBSwNzhM0jC4cnkMnPkGzQsRye6
VA6IgNDQNQg9TeiT4fLFJkaE205GmO5s8JiP6qRgBgukzG8jz/Oj1C1iw2jz8tZH6bCUjmbjFlGx
PqQOGYGBdie1kEcjtF9EG54DX78bZto2V3kY3zOBGw7BeQ74TnaxHYz6KkB1BxWJJGB+sDannePk
+16pn5Ouv/FZs1VSaN/IvvAH4dQ0MwncdZRPGabRk5KOz0rj77Vi2CvddMopDFwMM098EMmTmbgD
joPew+L0DmPVIMMDw9sER84P95iAJ6fQj7p6cOVpfI0UDrdS3nEPuvYF7D3w5grp/3zmnYtQOqe4
hIE+WTMadkwOA0J3DSadozI4i7jjhRC8qIDUQwUz4UxWH3ztxYXI6WqUNFIfTQ9rT2U1OHYNtlI1
uA+qVl1A0/sL4Yp17/I6ybTHvnWIMc1sd0NLD5wZv+RMfQd2Xay1mQQPOiaEoYDTIeqJC1LF/lO1
mLprJb4vm+aNRD+WpBksP1TmazSj5mOdu6tOEhAGPZZspJyJLsMePH3UuusSXH02c+t5yGC2mln2
PVB7f6bb14m99cHdo6K8QK7chy0Y/IGyVGusv0g06otay56mugQP76P/O+z1SncfWhN4d40wBNRQ
8OhcHOx0JnQA4A8A8TsA+dW6/+JTChM+qH5oHaRn1PJDIjJapb9rAZzaaX+t1A8Kq4tlWJKGM+hL
za2Z8E0hQMopx5wbAnqqAjT+BQaZlyb5GUvmYyPFO0d/ascr8zC4yR2JrW5JK9xOm3sIAji2RINe
BgoKCBYiYRG1wlZ8rRT1U+C5s1P/hQjqfTkXHJiJv61Lsjnl3H3gdBubLoSEE7QPaJLrvYPoS18C
DGPoiDQo0FtI5bvTnIxEnKMQMBhr0EmjdaGnfSFp/B2pVB4PHJPduZ8hnj4rAgFY5JxHnQaHsJWn
mkcUtshVbDiUi+hE1tAl6jJ7sNrx2M5dEAOlEGIwPIHxL5LlC8+l75rbuWmNLPFOOPeR0yzRmwLP
kVgrffVDdANU19xCEasaqClSMh0nrgOd1ZgcUzvbZuTBnuy5yCKvu1NbkrUf/1Zywf8lUncT+3cA
qnUqEncpjMFHf+BsxrchAMhnbrROJ6+onFJXabwqQYVFccVHijZ8c8qpuNKFE2z+v98Cf4+R/0ub
///+X9/Jfy5G/rvH3wCvbuDxx6qiw3CcAee/FkODmkcYkDDXgawzXLAy/n6EAbGvYuwhA4CNx2DP
/PcjDJkBLi+cXyxX54LDUecv+HRQVf9uMYSvzm46g47I9vChMS+OfzzCuGZTh0LOdYHWcUziXVR/
FsVsVXCWtMazFdj2Wi+0bWYqi9DGDRuDKhwtHF90HVynNF6qVK8aUfeMd+KUpYi5IZBpo6Sjx+x2
gSVQTAyqSQo+dVCd3/K890HWwkoZy3pPsXi7DHR7wt2jz6oqR9ZzE+hAwMERQkVoYup8IoJYoyco
6KAU1cvJnXb0FQSWvExQxgEeg/3pjmGc7gitPTdm9+pO3cyK2KSdQVE9iUpIsMG8ExCGnZL8vdGu
VVt4YsbGul3zAP75o5iBsmHQ3EPLX02SFYxTCzbKcw0pIgmtXd4DZZwgK5F26CzVoyxkVVNVQM5J
IS/d7RrV3aB5c4oAZmvMVFttyL+nlrbzYdw1fbKfPTQTqdC+L9el9AExN9EMNSoPaTq8ya47piZp
dQscNg/x5lpCbn8VlXmF7447lye7xy6kXbqIbnQiWk+DklcQ6qkZ4YbfekJL943dvRPpP/ldH8Cq
a1Z6Ie6aqnM3OX7tRcoqvVZ9xLW4OehTxC0H/BQ+LEMX3SqNGBLVIl0XEmuRFELbw84+VnWq70X7
CliuWYya+to7j2nDPcV57Sx5l3Av8OWrQhDPnLGGSn2OOhl7sCo9Rei7KFGzZQt9Xeuqg1K3T5ov
7gabB+lsborHUx/rD5Gu7bJS2wUKAYJYAc4+SPLNcpu4AT/5WD5Q0fuMW+hicTdo4Aep8c8ITYij
DbN8AGDIhTRENOWIWnphSQ9pYS4pOcRohFtRGVh6zRlXVPeluuhRo+WMMopwzbpK3VOwnHDqD1YG
mI4Y+pE6Uk2BG8aalF0tXSDQe193V213kA4/h+Gr6v2HrqpXtZLcN+Y+DN+Is7IIIdnCXkpgMDEI
nRyYTCNxPeiSGwVWk1Sncwm7CSvAbpxhThVUp842lylHGdUfXAzWpHftIF0rMUogbGKwIOpdljjB
wwQxakoGXBnlRoYfaRE84hx46xSH3iQ44MwJRzSHJZcgb4JEZUCkCim+XzQGa0nic5UHTl1946Dg
rmhdW6N6Mqr2qYBwxW3sCGbyGjrjxWrzrQUJS4eIlUPG0iFkFXzq5RCzQshZVWQhjFN7EBPVaZpX
F8JWb07HbkZuKXOjqQaFK7Tte6XraJw6+wEf85nvci8JGiCU6dj8jYo9E0F7nXAbHTaEQ6bVBPxr
Ut40UGBwwC81aLCId3wNKoxXtVfz8w/GT05WyxCgWDA3d86EsTZjHeQTljMgZJVZjS2zCOCjvkkC
d1X7wtPFtIJ37dXWgxprV1LKh2qIHokic69yWw+n+EKxnjmmL7jZLjWAaxrOtBwhQk2H76bLPlOC
nwuEAOL6V7+h4VS+mcz7w3QDffrRAzhK694bRpA2SoH8a6ZLYz7n1bF5U+36vuqgWpcElGJminNF
Q5qqa8BzGIaKz4E+blItx1Cmm1RZ96gzgvQC3PhFLY++6uE1P9i+emdVREy4/gbWrhhST9Ee/von
/D+2S/y3BcX8mznC+ZdwwVubtJn8j67b+Xf9knn130wTsBysZTwLsz3i/36aa78Rl5uttZo+G3P1
P7hu7d90ClEAEIIFwD8x5+z+8GnuULAy2y1sw0E6/iuf5oaYoS//1qoye4RtAbyZ14vgbwihcFac
//xpziFU783AnlaKBQhQcSs6g2Zu7OzAeMtVZ6QqFpTzCF520nl+zLzZjCg4wD5OlKKNDj1haC+f
+bRIA4gTM7NWY0tJZoqtNfNsg4ZqB19EPTB41I+c7t9NMJClNTLDWdvZNK2tmY8bAcqVMzF3MPN4
3c8U3Vj1zTX33PHqYHXfWTan6QrsbgJ+l2shZJkGOilg3kCIoFxNceLfAgerF1En/IHDSMExH2En
dXTEQfYtPtk8QWpuCidb+Ul7HuGxQZYNV9rcjQ5KNlgpFLrGKaCvtsnUnyY0+psrwmJtJH3OZ4gT
bZpBsddGkDl7hcXHowihXCoO62OP3IU6xKIWmS3pnNAqz/1EOKIAYYqjDawC93sryp7b2IHvTuQD
ylWfO82W3Ae1G2N7PzYVvqpAntEdz7ClkwWIE9ZiAPLByrcglrRlepDQgs92bvcnV5Fi7QejsSz7
io14Ep9koFTEXgAkcZ1b+7aK/JvgR7jt6va5hckAa9oy23VQjN0y6OsjdhkT+xkAmjbSVpPpz6pZ
/lhZsEZ0e9ybsW0skSC3I1QNkkbVInbFm1GbNw0bsF/KjSkhx4NfAFqmxPpC8sOoA/1GY4sX+1wc
U9d86UOMZoOrbHzpHhDqWk9NgC24QfdS827wxJB+ykAz4O5GL13XrBv2P8ctq6VRjifDotujl/3c
yoYawcXWa4fGJ6yierpkXoxMNdlbPCFXPZWkXt3Va9Okqpk/6VgGY7PNbOpkAN5TveH68P4c6LnV
WB38Ub41rbOeJnRRxSZN2LoTPY9MgItJ6x4M4XMXrwnI08O7gI/BrjtFhzFEVmw1VLBkAOZP3PRj
0JITV1pcoJ0ut7Sd9PTHOemdxlS+KTm/HfSBq4BrUR2JYSLzrIS3Xq4FchEY9mrCJE1ENl1aXXxL
nP5gWtLd9GPwbZC2PIWpdU3L7EfY9GuqOGSSpD7IVt/745z9akI8vGRz9E6hxzEfU0hi+t0IVZZX
5a1zDK+TFRm76R0k317zAbdMpboue+e5rwVsz6ysXic7kYeWnw13/CYl7QjUWwFnATzUupi1+T5Q
U8kBGll4yqZnB51Y851g22VzU0r4MaEky5ScYepE2CoQmX0NC6eldBSHtlysEaKRl/YFwrTutu3C
nLXqWlGnXeWMeOxzMAsx0KdwuKqGdnFHvb+0bpd6RJbOulLe1HaWc5wfTIarHGyA3xfn0ucHkzFP
QII/6pm5T5TqGxj8tk+cDUUVOxl130XPb6CJqJKceCegHzzeHqYAznNVA/FuJvUO8/PNSMjiziED
vWzXk2P99H69F3Z1N/mcmHkT3mImkgCnjZoGzxIz+UIJDUog6h8X285SD/UZNwjByE2JyabBNHqJ
qg1raI/FV9RD/KC5ZMFh+En4PlBnM9ZPIvDzVWuLD9hQ/BSVCpNrYwHvsZoSyQ5puU/aSzZqGO9b
ODkTbhoX0b0OICeru85XmGRmC3ibcx2JRtS4AcPXmCfL0umvadAAbnG/bWkBBR3IHTY5nvfpMjTF
Nc2UU9tVrFO4LLCUufUm12xm6/Cozi1tim2RL8tVc5Ekzhv96zs1UJ55ufVw/ZS3IvX3fLwdEArv
4FydZI+uobf+C+NVtWoKdyNFf6/SB7/kInZqcVnZLXWx0WjXIPKIblFX5bvqtzMQ0PQnSs4N98VP
MtgMY/VgSOXsDi3OiBkVDhodxAfPGx2Qd1Da1xGqeDXjxcN+YIS16+9Mgh43M8QaAY285e6AjQdA
eTmjypmQsls/48vT+eZU07a69E1nBff3oQ4ciuBF/zo57s6eEei8IWCKRe6+VnNnOdSA0qcZmU6u
olu4xGApoRdHPeyC3V8fp/7f9KhysP7nZ/Pr9/Sd5N//cZ6a79y/5ilGI9tx0B80YQnTmOWHX+oI
vyJ0S4MjrJJy+tPZ3PoNAyozE+gBgkXYV/84TxE5MsHi4WCdyc3aX5mnzL+1y/1pnuIwz/Gdlju+
FAgE/uJ/VEdcC4oRTcXK6q1K6W9wrYNUK88qEA9AvELrWNh2scwr+hByiu37y5UPmd5zI7HF188N
845LTtlsyXhkYploLSvaYgRNlfjTXfw6HXmGJk8d1IOr9lPd1fdYUBnP3jhkL4s9ADLw7F/A8itr
Xai7hJOtEa65iZv6Tj61tFSP2GSsRYd1tiHbwK60MJVN+55AiIsUc11bX0aMXkiLzHq+F5FJtBby
WkVbkh1Hd63eBmvnoNZ8V5f6YfwOAXyVa8Vf0flYkjwdLsV3+qAM9y1e3P4+If/KXlSuU+vMZpno
x8hYh1RIKsEjiY/kkG2JerKYleWuKbdc7F2NvMMqrPhnGlVfMtww5h7XIw167I6ButZPcqUMXp5h
tT3wns+NdRZ4JtDibBPZO8c++/7ObwDi7vSLHW9JVr4oGaPGlmqGiMqnIv0q8Ol0azoz3yfWzvjT
VZZdf4qmSxaSVfffcIy2Jn+PJclazb1n4167dreyhwfcCzE3oQwCrWovODfU1hvhgKbcx6ZDqOgt
4eQbYWiN9W01vZv2TzPvvC6PI9V9McJN0W5rbFPut1DJHmPtvIXVR9gdSiX+VEAliFF4SewR1Z5c
g/QbxswS34WFjYACW33gvnGV+qXzH62fSe4qhvNoeHdfwi+n3Zr0pfR8aZPqBj3fmB6NrPmkbuUt
Qy8283swVetSfYm5B3b5T22uu+BlTB7j6l5dqtC7O+rLC06p46KOdmDvrQq7V3RPl7OJ+XQTqpfK
aGkmN1e2DZr2XrXipcPLi8doTTavdReqd0JDw8vokYd7/VFeL9PEp+ZS5Vzb7ex7V19cIDXUj/qj
/lQBrQsJIiyomxiXHePGgkxyeVX27uu2/aictXbNGcs/dMQ/PLKZhxpFhrkql1Bv9AWAkSMM2FV5
F3rJQ7ns7vyzKJic72bd5h3ekb5vmI/CVXp1HW8KEDCWmLcvXMLrS/NWo8DDgcB5vMqbqxgfOvVu
KmE2ek17dTO6FheiXjGxDcVSYrYw7+m612lNwhpWLeo9FbJLXBRn9469wapW2VHfwC1ZQNnWVvxR
CWVSxRrbHvwlXv5v4G9ZEPylfc+kbSz3Q+aJh4T3wb25Nz5glYuFdNap7cltvHFx01GM6sHtcipv
tO6EtY+tJcFChJv4MYF1XoJVWRIMM89v1Tu31h+K3p2LsYFX+Zl9WKd5NnnlQG/Ey3breNlHixMz
PzeraR3RQ/MJQAiLx+Oh3cOVWCj5Mt9nc/swpuXV7GLb9F/hNnpQdsyD0xNvSK/cY5QMF7AWx9Wr
2V4dOqR7Oo1p8qM8kmcIfj59aVPCYV5npz7DrI0DnOiMmv60SBQlgusLAvOieSNUrrWHOtqWKZ02
SwsX0VrPtrl81Pxo2YmnMvyZEo9A9LEwF7myCWnRjDz7jX4MbpZKfSThzRRYqng0dzjoOHB9GV8w
PmVAcOU1dY7BQwTUm7GCnvCPYG3ehrUBvqU4G2AOkTijezU6UJmtRIT1x00lFtUHtjn+0xfbvN/h
I4wkoyXe7DCjYLtafBVeiYbFA1iForipOHzO7OJr2nu2uiKRSJIUwBxXGFQzUN/InG55xC1p1St3
2o/OrR73xkExVva7XqzDAJEXb/utj289j/Wof2qf42+H2VzZOu2JkkU7XtmvCN3CX+HjVYNt1t5L
rpDJLdLvwRDcazw+aa2vW+9/phBuJDRyERz551PIMfou3+N/ZN7jt/2aQtTfsJmauqtrHGIIKyOb
/JpCxG8Adm0GDYsE06zr/PFGY1Ec4bpEa34VQfxB1TFodSCywZjC6k285i/caNTZVfgnVQd3vGlq
xvyHIeqo+t9lqXUzs2Xs/h/2ziQ5diTdzhsSyhyAo5tGBBAdGezbCYy85EXfOvqZ1qBlaA8alfal
D6lUZlbp1auXMtNAT2+SZpn3JskIItz/5pzvZN2uB6ZQA3YX5DKXzRTUa1AzM8ZdS1ftFGAwJchy
fIMo9T7D4SviBrLHEEM/s/YCKAvTG3lb0Y3IRBCBJZDNDnqXH5lj76IKYBIIy4Mk+J1JDLE2o4GY
S4fXglVjzZf21qTpfNECY+HEqLJmC+ob2YuKjnoPzJaBai4RAxNVjZMokM78A+mcvnGd+dwTao0/
49VZxzzgeDYVwZutbF3YSkXJRKFDJoJeiMnQVpGNTeDiFnqF70UEVqyh2fUan+2wEG6J88zm5cvk
svegxs2kHy4WQVa9Q2IhPh+AMV/ukvPaYWu2rLDdHuYL0Pq2msj2krw8F1u20F1woGjCNgSWB3JM
fnbcEGU73WUjF5D7FElZPdQtqrdOOIE+2T9xIdMl5U+4jmwZPy7uWWInt9g+i2R6H0V3p0/q3mxl
CTuiv0m6xFd6upctOEXXdk9JyRnijgl0yhIWuriU+ptVz57veuUH6wC/IiseWiysTY5bDL7q4hYT
6+8Tq+LWvTbVD7kihp4j49LWD3Pf+yULJTnLw7o3Y4l+ryrwGCY0R0Fsd0+jGs4kATIDlGOQs+OP
hgbh5aM3Nr5VwzzNbw28FEbLhIfq0ZXxEZRKAdTebAZkRGgbe1N7K5xjs3p+w/shpNh6ZsS00WGu
iiE6hHV2IWv0tU5VgP15j3xm04F3XIQN0DOoWSDqo+CRbLc4udEIsS9py08ptPu2sVg2uWlCDG/Y
3SyJTi1ZNGr7H0ffL0ffiiv/146+4vNjSf6FBoz/7dejz8IjuB4raJPtX2fTv62nTROMrYtv0DEE
s+Xfjz6H+G80brYNvo7W6I8NmPMXw2DTzZn5q3D5zxx9v0zN/+boYz1tCLnC7vhuBofp3zZgJuCq
fmlje8c2zH5KJvzv2ig4UTzAtLWmnYuKUhjdNcDbJEBefBJaBXCqa7yNFsYpTO1aPTYhLp2pwUlR
m8Or6DK0GJCRNq3J5ieb1Y8y60+iGckJTVyarCa97t3xtZo9RqGaeoyz5qILFUSWSVoFCVFmk76H
k0ghlnYEPETmTT9ntDqOS8Kbmg6m0yufZJ3+o5Pwziq3exE1tb3dufU2X+SafiuOsTIeYAJ91c7K
cS0wMHqMocyKTKzpzh7AntUi0COKci3RbyVTwaxwkAPXFeYccN0xlhJ0JOs2bTt5pP+UpfZiWIoB
EXPfsTAxuC2g9UbvStPMFNc4JTN55I81rU+e2pJsNZicluvQwnJ2TtqbzuGPINC8jIKsF3vaJbX+
DcX43Od4xfXys03qvS4fa/wbOO1u4sE8MRt89iw0ky0QKVNjN5XqoiHDobr3yijIsxr5kUXYmyGC
NtF0PxrHU2Uv47lf97YKbeh+EHlLmGtHDK+tMr9yqCSV/VDxozWKCDwSgLfNoDHfdqr7cEh2TNof
+7H6aD1xPQ8UwRaELGLie3Rc7ph9duz1zVRBQAKiOni8pu5i1iUMZnmDa5bFpLzTgevCIPUb3b5M
Qjyi2rlKAJnzdKmtPk5X7ihvQ2c6Zr31XWbmV+RQMmYl8oYBDWwImp+Yi/rc4T2MZEdpB2XDNNvD
7C4vDi2X4YgL0+YjDV+AqX3nWsBSITOh490JsFcIyox7tDxsfrtRoULEe5/NzZtDvoVbaN/xHH+1
aBdKyDsMHugfZq6N2s2Oetrv83AA5y7m9shbTWx7Kr9MMOROHQVxXd4Qj/mFggMPqgEXCyoAuAVQ
wuAR6I9LjaC7bhkflsLQjrUzHKoBL2gqXsLBAKmh7lnFrkOPbIuAqA0iqZ7MOX2UOp8xFkWDGxDU
XvtYGbPDYuMLb7DruyG7TE2DkAKTIsEbj8vWcTG6G01gp+WPuplJIuk+82g6Mdn/tq3VWeDVe1ap
b/Ok8N6p45DE5S4RuQlvofysW8RRm64nUgjxyLLe54iBY5GjnkgAqqZpExCNp2GAQmQ4FSQGlRmq
3ZkeQcXzfQzlIxz10FczQmxpMPTtjfGu5GOGcRiRi57bCoSwqZe7rum1E7cdSSUxSxFOEgKTVmV8
Lj7GDuGrqCGQRdEIhjzKzH3UReTsTLEXsGqQAYugvWk43cYY50ud1296iRY60+jKreskdrAOutoG
RcS0pXakSwASnXiY+FeC+TZDgMbV2Q5BlKUnO6Oz1PAabpWKOx+0OLlSUjtWVr3XWCiemR8sh3Zm
vDRX0M76eMqOVddaW3OZGVIpZP4LzqqlxyRKBEw7D/f1mhBe2um3YRs+wBALyxCQGa9o+GrxG7xm
aN0Y4+aBhbc1KQ5CHR3kwkk6ykuVLsdWG65Lqe7RJz8Ky7idFE/ggF8T7LPPQ8v4pvm2G07kJAnf
izBnHq6iV9XpagMy0SOtKzlnWumTUcFMAhUniTPk15h2d1pg4tjGfG9G4CKHlYuTZ3dl2UiAnwUh
EZJ2qbjMnXGFJ/KNA4bXY5+lrRUbvUsPkOgE1kkZVNVySO0Oj58B10DDpTX68Ob2IR5Pr6w+pzY+
unFyyi0Jnxx6KCmXsM0W784kOGKJ0UXsuj7zkbQSRFl5RokEEuPf3qvXfKG89IJEyeIricUUeHZN
pdcPNvIcnKnYxp5aMGC36NT7HabqH+Cjm41ni+o1ovA6znbG8cOKldl24ez6sBe7buC9yFvkVUus
sahra6KlwykTz9Viw3fR3YF1RDT2zCwihJN1EW5DHRVykbfaVjO8fK8kmKS6hzyDxBCfQnEys3wO
6oXGsx6nu3Iexrs87V5ahVapFb7M1gKz3WodcaeTSdZaw6I0mrYWgew8gPV8JY3oDbG8www9u21G
VCysSKHXZ4Fm4+G2bPveMK2dW9Hc95V9xyoVZD3u1CpaDamQ3avOeu6jurnL9WbfacphesJNXiCx
vrEUyey1a5XbaDHR+XSawAxvgzbVnU8849eyGMVBthpLT7s0TrUyp0Na1V95P8H0mJV5BdCCaCDH
mu4svZ9YYa5CHURUsETbeY2Pixpf0zq1Jy5S+bZufxm9xnjMqU91YmYoYMcbDSiLrqtDMQyBpixf
2Hhuo7Fk/ZGOm9wStm+5g7sxVXw1GBqD0gJPR2T2+Taq8qPK4IsOrvVDyLrHHexYaLBpBhrFMaG8
T6HXH+vWaBImKVBhfdTAAPjYyG32XBFOQzRFygtv3G66Lk3cWSMoRoyZ2E69Zz2NL3E/0SgRTsQZ
hEKsd1a+dgtN1ZOwosUe8dnB0uC2WQvSX8vq3xezKO4s5bw4EUItyrrYj6cO+2WCAF4bCWUZqaRO
LuLCbYh16vD/faX9mzZ0VVP842L74YMSCCpHl/xzBPT6lX6tv+Vf1skCEwTp2pZjGMT8/KH+piT3
pOusAd/rlON/yUPZjcgVDb0OA7AN/jGeEkvh6vXDCeBQt7lsNP7E6MFcJx9/V3+jcTFYfrCJYTTi
0QT8cQEyzlasF2VuYSnGaleF1S0H3a01tFcscO+9iINd9Rq9YJQ8ITx+A677AvR22ua9e8hM6w6m
MZXcdOKsYB4cAhqLOR6S5XUuR8jlRcE1N+Q3sUSj4ETyO3cXEPsT/bhdP8cE2oVdfe3wN2ZAqLAl
12GzOwFj485bw7lW6lHfYBjnQwqsIi+1o9cjr6TbL2GzQnrbmjoVFQlqGhg4QBAUSstt1y93cZtd
9SgrC9oBZVZ3yeT5XuOdR4/+lWTaIZSHjALNItYMozCTzyGww+wdLvx0gNCxa4fqgdsDMSpUA9xQ
r7WLlXCqAFwW1nzbGguHtGswc18N35nQYTpVg3zJUlJKkOJxy9q62lN2nN2xY+TqPFVzw7mjN2T6
IJ8HTXLUwuxWqfwqHNkD1bI4NvFS+cYyf0Tt6oj0ntleXInuWWgTgrCdOzFGWLAc6H3xYXMQ1CPg
p9JD/s7xYK/nhL2eGNpkHQqOEHM9SxzXOpGSFiy404kYIhJNZxOzFqPluV6PH7QzaDc5keBgvkB4
3bfkRvEoPMWqYwmWFdcCG31YRv6gQyczW4Y38VvL/qVAh4gGGmklyjeGr92UnooRhU5+NXQYRrua
5U72Hs3Ox9RBofDsdQNkguokYx5EEz6zkEcGuzwQZ1bdNtI3XFYVZC4mKaN1I9il73oOYaUTmyn1
4hiv5/NUMqturdelY7+1mNq5i5S7qQAQNUUXAKtzFY/CuG6QxvmlZLa0pKxcGrV3tJuoXSVKLZfP
iJ+UnUWzcicqLDiYRiIHklcz30g6yLCfCc6zrlm4bd2h6LdE1ROnN4INX0cZvb2tSnkSkEwNMXxO
uRnQvQJcdRdn2/b18yTIvfEAHfTRs61eOrvakzjy5kHuqmrEDRWoDrqJs9KcL01vDmlJyjjDlUNk
qAeyuHitOlGY5HpuuqFTp6bAV6Bwiebh9dKZbzhmugdDhICvsNyiyja8a0PMkR/ODMFHaq94gr5d
NX7vfWayZcvFTnJBaoNXM8mCxWp2k+Hnebqr0DYNTsg1LXdGaPneNOG98TYjUVvSY7kwONe5qzDd
nBypgjp+1qDoSgewWDLgGHQrmrM7uOCIEnC2MUm0CQMtiiucwet7Eaz0n0iUOwsNTpNlO1keh+FF
X5kSrKf6tCOf5kVWw7ktelxqOqxmEiFbuap5/SSzUQg7d65xyj0WCnRig+MFfblbquuWBi2HrWNC
5eiN+K4My7PevueQxLDcg9y989hxePwI69YnqjEGhwEapiDhTer4nM5xeKVKvC6+XuTa05+/M/+d
qS1/uzNXreM/vjOv/vpfh7/+5/LfcGOuX+fXGxMDxDr158ZE7Qj3lJ38rzem/ReBeBDpo2tIuUoH
fr8xkQyQWALh0tHJ5EUh+UfJANDTdQZmrTkLpmP9mRtTGn9/Y66hCVzBkpk9egFhsDH4442Zu1VX
LWgid1E9BvZ8Kt1xqyuYQ3ySZdzuYx5plNgQ63cTTrQaGn056ZccjgOLqjUUgECzWvzUi4rPK90I
zmSYdiv5Ll4ZeGnWtrfjysVzIUTYG61rDwyhcFwv4Y/UZPIMLQREHE+yTrIwyiSWz9VK2GPidawH
/YqPJN4C1oLLSuKj+dCIR2o0johK3FoyvopG5Wzawdu03mcMw2+ptKDJlO/NV7qieeDulSWeNU3c
aVb4ELG/Hlo/h0nfAhp0OrknuXRbxD2y7+YQxaMDHSdyVyzJS1FXu4WBVKw7GKDrPbxWWJvVd8/G
GDIe7S4uTBgo1+Gg4xmBQxiZ8DIi52gwnoFyg+V6iaJHT88/Y8O+FXNDHFvKUi+VgEkTFJmV4aXQ
YYAMrMjD7pefie+WrThE3Ljz0SNnOVvc25oQXSsNAxCAu6G17g3aw1pyCgNVnKrq6HKUG0n9FY36
u8jBiLsZOlNUqBfRAkvAlTW+FDnhEA5qjayiSFBBKgF1i9shBX+t/0zQuYsRErowHquV7WgjE2VY
APYABkMC+nHIS9asrXW7lLx92fg2S4juLscVt+7Qm5csbo+WIpnXBFtJu8sk1HvRs5siAsoze/Ur
jsJ2CzYG3XtH31iBEiMlGaCUXj9L6YfhyWwemkUcdDrsaYVV5kN9KMg9pm0POq85tkb6mqxsS7e4
m5MGkSjEyzI0782EZUKFPupptB69Vr2DZWHdExXXHrwsRBawoAFoorGDnJIGdfJDpTVgmAFmK3qU
FbqpZng86NXRqST8TC7ZjWvfuhtN86Uip0ZLB3bJjC1q1KQKhGcrpgcEYjdDO+NHmu5LfPHZMvEs
1dppoiErgIAaAjcwUFAlyQECEgqe7bgCIhzwViRhvqRptDdq+7qHKJqY9KwC05KTryUqZH+7O9CN
H0gkQ08zshiefF1Mp6SnoRqWMwMdiDsTRdC1R7eOjD+cZj/G8LiM2XjQVq5ppSfFrl1zD/qaZDxl
hu/6MDzi8ty1eHiHFMRB3wjt1kyJwSA2wW2tQ8KwryRsWhl7y/goy/ropBfSlIIZ5UnBxUh0Hy/v
3o54aqbTmKqbEt2xmmhSW5MZ3HONyTl35oMNeRNRHr4T3Cas/VFik9O4LzhYCsf7maDGJAUBTUio
y+tyTuAEvxNQcZmzN+0Xm66GQBj1gIRAQcOKJ3n6XhBuKDZ9tk4yk8iejPpJdt7jNOaHTHuH8b6B
1keeLQ5vZrX7YiApUVzFC4lGo3hQefbTQ6a9EYbG2K9TT5ZRQ5TF83MFQwpOaEVS5nNPlEWf1NfS
0G6ZU9y3ibOT1voiCL0g+eLZrpn09Yt4JOCK97FzrjyZe/7oUNi06DaG6Kfu9N1BLvMD832s3G3/
mrXWtMXAA49NUeqQCA5OUPOL9CNVE1w8Nlr4mC7p0P2IE8mczDyPa3aHNVdfqeMVEWQNhJkVgvfC
QGGd6LLadCQ5nKpUP5X5sjXawe/FYG2zNYIsdg3C1zFuxWbibCalPwmLb54zeg8L+8uzpy8jt/3Z
Cz+RCb8BH3gfSYnqlvVMmzwAdlqq/C5GVkKAAwTcKLsh+/NYdPiLR6ZC1HDz3WjEHdLO1OQf7TEf
SNZpyC2BOh2is1mBTnhoGQ9ua6w5eLqZOYImA9mxMXLUSPbYX3gEz27mkNggjA8RVu+jI49JnR1V
6OKp4xLCqozQ3QVD1dFkOVqXPfTZVFJzFyRlLHrQJWN0sCf+ZqSN13OVv40jA8Uwv6unRdvJOfm/
Q3z/fzJFSv6r5dD9X//LL4rJfz5AWL/Or+WQ8xemBkgDUBzoOuYPxgS/lUP8iU7bLqGASs/+gyPF
/gtUIVfYDooHx8Fg+jflEFUSLb9j6waDhz/lSLGt/70cMiVrDs8QwkRisTJI/1gOadCke9I3QsLe
Ij4qTUrzH715K2wuW7Fzi5G/VMQkQHS8T5IOi0RKmku9PMWOAaeH/BDdu59WlB2Nqm/l7oFpyX4i
TjGYbGMzQL+LVgxetLiJn6GoqdAelpDyDNn75L/vBSl4HlM9tzBOk5UC0QGDQSUGbk+DL70RAxTB
FcXXZeqmhc3HOeg3YIijwmLVjU3+QHzLnVyJflmT8imA8RfDtJlX6l8ilK8rW9/mLgIIFmDNHpzJ
MQUUKNLBfIlXfmCYKlgx45HkSEYeo3FKVtagzkAaIvohVPZxBkbIwTxzoNQfLpjCesJECbaQhE1m
K+m+h/DXQjVceaYVlMOVMoBgbLkXvwAQI+dz6SQLjOgsV0Rizltj1sO+Ny2/08Uhg6WYRcV+TZyr
Kt3Po+LOg7lIBkVgrRDGuibIA8gkflZmGdeANnJ48fJtEHV8IIuleWkTqZPEPLETGSE9YoSr+JUA
f1wpkDKmWmS5gqJzJUSCihyndtiOqQGsyUVlij2Cvm4Zp42pEQWlCdjECwpsvHQwKFUNqcZNEAaE
ucM4OZrvySXZx8t3LfvPOtd+WDMjk6Stef8HmkkzjWHDJPsShQVEuuQq1ZfuCiMPiX5W+d7XYYP0
sIVuqPJj0VRPOpuzbVrDdbcRq/cshRG6ivcubkvMe45f2dO4acWyn83+G0YCBYF2xp9MJhlhZyke
grp95uNy08baQ545H4VGyKohsycabBwU1XQBkU1kFUKUzaiwLwO+O07le6lsbqWeIteFHpoJhv6L
4QB67s+o5B/SJc78pU9enMzYuwMpqEbIlD00f+RTqYGiig95JBCa4AVUOhDqQgvve5AlB1jTXE+u
+9GNkP9lOT66c/VYVzxIYe36nTR+DkJcD7aGujN3zp7oLo1deidb7wIkS9UVJgXUJwT7FnJ5GAgu
BFKLtBbEJEW8G37P6wgepKkDBJ/troaTI1ApPPPF0zVfCd7DsirZpkA8YrjUfTZLdRcO2mnQsjIo
i+TZ6YufNdlYbhHeSOW+lB5lmDS7L6c03rOi+8l4497uhn2shpu4DwuufwetdBjWEMo9m3V8eMhI
wZJttm+s+cUjX2zXdLD8YgknOFT6T+KRGGw7Js/mkO7mqL7NKu1su7QwpVtfQgfr65IXF0SI33ZN
0aus/tsbTPjAIKGwZWDJAqy6i6mpy5H8oUXdRMly6bB2tHU+PZStuKlld4nt8cHL9T0BzQBTI/2q
WrR6B6QfsBg0J8etiytaVsKSbAsKhV6/6gMgsbBlc+GaHW6wlU0uOCDG5uAIpnl60sdw0cbzooU+
27PAlfOPJAUOlhc+Vcf1wpIbkqwPFmLHKQMkrExrsn7TG1w6+zg3b4yZjovvXGyrMMVyQsKC6gZq
QRN+E1QtLIcbfoW+3TA4NEaMT3a8BPMyJheblTManR54isbuUx/oTmxqN+EM50yfnI29MEghL6On
nLOg9KAHAgomt6pFtNNLc75Jps7dZUBZzNaKfc3Rz2UlvmKxwjLcPt4Xosh9HrNun0mP0qj7Lhqs
WCVBaNu8RXpa5A7CtZCs57HRAOaayXXlzsuNZ2cDefZYvYTTscZD2+1A9dBgmm6gzDFQja2gspC2
dWN4KNLxc2ZZvGua6FRW2lXXtvnPTJMIj4oRfW6nvDuSYF0Q7nRdiCTGwkZDcphV9RPQQsEs2XCj
K6it3cUAFLuA19xp+qrbVpwPoyK7znpak5sMWSTXGptq1lzYT2JjZzUV5To12USRymltTYb35MVL
lnwkbAxg0BsJHb51X5buwxhS0tf0w5NhnefC9gLweD/U6hgTpbXn6H6G7HZbqeTDnlnY5MK7jpYM
ommWPtfsODd1a7J9Zsh71ZnhK1KSb/KQgnAaUPJT9TqsKDX07hIZyLpKNNbZdMYJBpl5hnPMRved
BG2SNRYM6GNlA/Xrx08rIY++XVPD4hLqWJy7L2RrEZxGzOETMznO/cQ6R+DGMPBTCnKcXutrrMQo
BkZzA1EThgkPLluWn+0aQ9HEOLKXmFWlXiLia2Ds8K8EVxgKREBIloUegVst2bBtFTkXWoHbyXEo
PknAGBLs/skaikE9ygM5lId4DcwggChoLcNlS02YBvgUbERrwIZRmCgByNxo1vCNjhSO2KX1atCg
mV3+02POsJFEdmSJ0tAeWo+ZmQfkyX6kEV0qIR/1Io6dKtmrmoRBo745rR7BXOH+x8il8VkLCQdZ
BpbXkpOihkm1ygpace7WNJFIH9dckZKPh4fZPklvilT3WIzI/DjNTvHeRESUxAif2SH+HNfwEocU
kzSzv8UaaxKvASflGnXSQ1NWZJ+Ek/7a982tZhjlTZLMGjZZglKmNTIFa7LhZxA/fW8NVLG79rEc
ozt2x82OT3h3HElfgR/y5cbtC0CyU7vGs/BjFH62Rra4a3jLaAHE5tYl0GVAQWHWLB/bPr2i5+GF
e8O1F4MLHGAtaqW7n6Dc6A6eDGu470iOgYFxTkiSoUa7LQxGrRUZM8Zg3OpkzoC2wVDqpi/uOBHk
xeVUp9bRWYNqEjMNOpJruoFlgEBZMbfxSy294xhap1ToNLZr7I1g1stRRx+7RuJM9gArebzEaALK
NTQHV+Ft1bjuhkDO5//0u0enXfA0ZsyCTX15i0YewEg4N+bABj5J7RdPQdYNTe05l/yCLO8ucdHr
9z2LHVTvRikuXq092Zn9VKwef+waJgqdqdUCIsVXPed4Pw0wm4Q61AMZeqFb3qQDck01hl8KHw2M
tkf0Ay5iHtfZjIKo8wGqb+uljzrsu43RoBXVnTzIcF0bufNZCINQSj06J7h3mJwcSXVjCNCmxL1n
2m5SzhugsRqvMKYMIjMuaW6cMPMGS97d1aX4WuKUdBGcR7OhXhmyB6wixt1/TKcd7GEO4kbJGPgf
T6fvq/rjv/+3f8Nwev0yv61zXZ1QBfJldUa/5moo+22dq4M6478yfEYZvm5af1/nIj+32bEhmaRP
E8ytf+cDuA4YIBQ9LIjZAnt/aji9coP+bp3r0AwaCNmFY7vMPP62GytnVaT9SBkZgjeF9AJranqa
xuUEq383N/IcJm1gSHXVsEw0ra+RM+Fu0Z1j2YkfdeH4eZl/KdYvySACs01fR3O5kqSz5PQyAPoj
+P0ypsV6EOI7iuvd7E4xEEwmyjcRJFA/E5KQ8iAdqjdlpod6Jv8H6himfWqGiAFhCnlQs8tbKJxX
bZFdc31HdkV+1INXZ+d5JP9LNMcBUt046zeME5GFkY8yvXsyeZxYRbVreaMuWRK9SMoAvC2qhz4Q
MU1qUgKKmmodNMbucugGTBn1QK7Top00T5yJoNoV3fU4O7foSkgZwJiDxM9hRBkz50lzeUYn6bss
5qzYOxQNNdJEqgsVZGE6ZL1kL9D+N7MHs7PtmQ47ARNcLtEqIVac7Ja53upV3CL7W+QGoeERSdee
RXiAYHNEr0o7lNsHy/70Rvavcb11meSxZiBo13py4A2aSzMHs5eHNxFQ+1fak26WfeBF65zHq74z
wuTajmCGacAFyx4ENTWmZb3FcJbGqEis/EyRSyILy8xNOjhF4I2lT/gxPih0XLMFYawlHQuXU3hS
EMGvC73Ecmtz79Vc8O7g3iy9NV2HAI3ehJXs0dT3BzuUx4EYjm4knhW9am83z0lHYnMG5wH/PX6y
JL2a3Jee93EN18wtZ2ta7m3kWrupZUAuGSe7xLThazeALV5sHkC1EFtEDoI2hT6pultlPUyQSqE6
4EFsdmlm7qCgYpXviIVImW9l74nLHg/Sa2EkJwXhTsDczJvqwcFz2VIPSBRRcX4XmeGWt1nPX7vV
h4dNfcYDRUFtXPQye9A7gVJ0qOadtAVdDrv+bgUnNPNkHqRm3oqkCkqvPq4SvrBAG6SKn3CxFOU1
/cJIGl30IG1CQMX0064oNNe3gWvhxch6ute2wDkJdZCtidGAcAAMTIlSeH2QetNzpbLrkDs+ltyd
gDyuJV6mPku3tupBp0oYcu79NH5ZY/SzU/fc4sFgv5r6sE+J/AVruFUO+1aAQ/WU+R6PV9GJbWmG
8mRFimgPavixJYXUeg3ZgYewfUaw7N393JRbY74ote8T7TgSDZcuGpg5SMUo+RmOAmp6RXWKbRrQ
K+NjNTMEqOZ+l2Bykz0PUgvEN8ku3Wo2FBmC1zxIhO7X+W2+AHbuTKBTycE0SceiUgnTuvBRLflm
Xp6GJT3hVPcjXJG6yWRoZjrqKX8w42s4gGfctqc+pWepR++ltZt8p1kJlKwkZTv/pjEE6KvRnzkl
UpRtTkFmYAve3ym/emsXcYO2TR109ry3moWsqwyFAIJa62ug0AkJnLEECoLvFQiLbSJwSCfTJ6bt
JoLtwjqHUO1npK0ucgmLUlb/SEKKe4r20kYxzAF4ydu2eTGw7iftR8kU2E1Qb5p4boaeFKidYIq1
dwxsKWk2/dDH8FGRxIEe1LrUaYEDxEVAaww/w654cRC51o26eJLeBLLTg6olljpw4YFul8+tq70g
BMA2Gpc/nVx+L4N8WsgvH+FXkey7Mp+WGFdbFxMSQlaUoZpr0oi3IVxhmmB/TrC/OMywMsjd0y+c
Q2LclmLfdgvJvB4AmR5xd9sC5SVOwFN3LHyeKntm0E0RCwkTUlgP88WpNeQfjJCHFg8dWP0EMJY9
NG9k0JxTFpcFAwuE5NVGoaZ0ezCxhfVY12SUOYX9nnjXJaHKiYgPIiKkQSzgNpdVosMwz2MjKiRI
Npt2H8rLPKhtSkyOWz4pyfSLHOsyykl2TRRBsaSMTO2CQw8wo5sR8J76hau3QaHrKBEBndnO09Jg
t4zdS5dbJ2HVVPO0RK03w2ZanOdYdC0CHxX+H/AS/73u900qiH9cQT0kAMC/Pv75PHv9Mr9WUNZf
VlYSsjfMHubf8RJB4q+sJIvpiP0LSfH3CkriA3QEQBBHWDj2/1hBwUEysa+sZCRXZx//ZwRxzr9Q
QRn8eISbCox//9Ow8gdeYhEV02wukt1XvxTbeCYWUCKj71a+W5QhbLHnea/JYsbEmlR7A6fIFlbH
VdiNBwWHrGImZcjIh+TX7aeOKFPNRm7dEJL5Orf9OnVZOxs7zf264Q9M8jS2XZEclyRCcwxFQIHq
D4CubJTh0dI1sJhTbnj2VRHT82IKRtO+1hE6XeOGf5OpjjsegbQxVcTPFMy0VEd6NZMptw2/i3F8
YlTI8E3blSwwI6ivIb8G4rFDYzfZ7bcsiMHAVHZJDa86o9AmcgZPcJHPV+DK+ZgmHaFWRHy6hmZs
ge6Qq+7dO7ERNEtL+9g3T0KVn0ZGLE5mmIeu03Z9J8iiL6kjCZp76dd9K4KfTQzLJxLRaaZE3uVR
e2eV3TmO3deQaTfscTfel7nTX+TANNkxih/zkF0inewVhvxnuxJaAJ2LTprU1E4hDCrD0QJo5546
7BLYmOQNN+Fu1L1vao8enJ9xrSy74UtTErkxUPsKlXXpuS8qdW/HnrisZjG2Y8+gqcgIZwmtuyHH
fROXeAYymw62tMOHzKIPXyY92iZFhOVQSZS3Ms322bqSRCotjxYDyn3TTPY7Dp7Yx0ii/LyNaYk9
Vn5xYwSIh3MWfe6x9FIKKTwi/mTRWtchHCcS5k+qdS6R8HBH5tWnGeMykcWrLDXBXCT5FLX5SNux
V6O+W0eG+JxZF0ZjsDRUDoYrDg1/vC17pIsFWIHU9I2peBqALFY9GWR0DBtjwT4PVNIvJ+LPJVMc
qr4ori5VnV+PLs4Ee5zRe1EG9+6ZAb9Pm0DFLeNzMatTydNvzjg7vbB8tCfg3gqWRYsFMjSOKYvo
Vlj7nvUMA8czkYmHuLOPBspJR5U0Bg0+zxD35oQojb7jgbCVvUzy52VpwUz2wxIUBnQf2roCcjBe
/2LpHomC8+eMQKqIdLQYJ4aQBaYn5BIE42GQArrOEGhkzhqRa2GsXqoRUxVJhsesGu4MzFZdSG1o
qOihworlFeLBwppl5XqPCE3WWxFFWK7G9qXOKUrYL/cfxuruGqLxf5B3JsuRI+l2fhftkYbJHYCZ
dBcxR3AOztzAOCXmecazaakH0+fMqqzMrO66Xcors1Rr11UsskkE4PiHc76zM3zamVY5vyYsYGSY
ApZQrrBZBk+28omBmXwcIVcFGMgkRrKiNZttj7WsnMOzOMJrxhQ8XxAFf4ixoVUffrR+AK2vPGpe
Mj1YjmyXgotPTk11439Y2oIh8zCU43PrWmQCGN9mDHCpcsK15JgnsnIXjjMY3FwM20p/FrfE5Skz
g31rkNzJFLBD5pg7SG4Rd+B6S2sGSWM2k1vGMVEp4SrWTCWs4T6PQkU4VTrXCsGr1QGWVwpYQbnt
SXT+LnrDDq3sqET5OnpN18yu5rai+q7ymH6tRrKoARLPVeEVR5+Z1616EV07rjwak3Ae51iCGMgo
9Weo8+uhYQfIuq/bhFIES0AvV05Y1GuehEAuJXpPVncaQuAieoyt+CGlvB3bcVPbYtfzybKo2tpC
uwGkHKFVcOSCceBJ2AFZJWtp4NpU61AL2gtDVeNpT10WUahbFOye4R+DsTyjsmqWHVV9jw8jo9Jv
8nITxqohFTktr4K+zpKEIV21CkLLnJvcbViXtWTCV/cJLcekSnbGwA6AJI9dZoUqK4AHTVA8Fh3X
x6XhdcPbgFihUj3UOMTxm9b2I3Jn9yJIyaiGgSV4eqriLKcdq1RflvgwFQwiTlYyRGMi7bZZ8UV7
madasLfFmF19vLFV7mXwXlx+od0QfPkt2fGHf/yPf9fqxWTS8hfVCzkRIPzf//PyRf2cr+pE1yY9
AOG9JXh/KGn+bwMgQUIQ7gwXNytnFLyBbwdAaPUtvomwEMSLLlOj3wdAKiLIMjDA6r8PlP5G+SKl
Uh9+DzQCs8ZgSjcENYxpoiP4dh3f6F4voUR6Kzs0j5jWdkmsmD8VM9LWJ5+drLgVeeDsxXpJurj0
j1mP6AeVB4Ntszqz2LlsyQOCRZCoPigwQdxF9/1goTuuxjNTAyo08Pa2EFQnSXc0xHyY/WRbux0J
ISW7dU8F1fbOXkf6TPYkMRGEvlmEoNedcZrNKdwXyoTYNM7Rx7w4wtw1rKxIBocoq3UHRHbkCGXl
VZB6D01vHpx2npbsB3ZGamHm6ld11OFJleuQ5cbIjCBmViBSZ4MX5jrCMxAm9d6XFkjpfOdE05aM
6peWyEqW72SJJDUdRc4+QbjrImHDPydXIyBE4dRqXt0vCsfa1KxwBsItQho4JdFOc2ct6nkf1P1K
wh5CDMHKXp4EvP28vD+vqADzPLo1ScHcGCasm7GNCBcqfALNI1+5KEiNOWNxuEokv4Qvhqc8ZWus
aGRLz4HbJsZgWeXKvsMQeUApiZUMZxqYgnniuMapPy7KggVHrguyzHD1bfSi1FczSUPlmpGNvXMa
8zWeiBCIGOrAcPA5/JRWsYLoOGty3vpdec4r/YLeaK8lsEpqBU/wr/oQKAPFKYVPrLxLgfaSxwE8
GgKJUb4jGpfn84xwawQ9JOrkxMeWCzhgYng9mxRJWbybc4wCuMVeg4++uwG7okcT4dXUOWZwFfj9
hr35zjSeKp3oZtMPDnrmjgsv0YmUCOXa9acnGZLM4FuoEydf26BBCFeGQ1sIl+4UvBxveZ3xxxQO
7OdLtPeD3ayGuONFxQoxb8l+1nPYyO7Eh2yrDSWb+W7Bw9qvrDh7dALEtJqnwaWhhEQ1zPvZw85d
lnq9cPSJ+JpWg/jTW0c2KfHOSuBR2vADE3tOn7UUFa4sy8+u0XAfFUxvwpFdumtNNyWvZEPv7mbL
33MDn0dTe+HrlJ9Oeaw1qEmxwSZUuDkMykQflzaV5EkSBycsLOgLopUkR3pMSSAqk5HiKbGWMR1v
qcfn9ES4/FCG8XuxasTwejeY3DDcp2LZww+uEN+ukpo1oBB2srdQ2loVFcSYAGwopzA499iZRmNz
nvXE2Ws6FUc1aVg96uuKU6AYiVHXyzrdkwPKqK6m0PXc5tK1h203OG+FNmzjNrwkrBcfuwE+NnQP
ltO8TUb5khkj3U3c9Vvgk5vSgVcSN2+xyuWqGoNhY8NdqDmQaeOYHWHYdLTwGl7CwC1vPK8yDxnZ
WmvpDyUfEZMyx4xZCYL2xgricmvF81mZYhP3827nCaCyRvBokgS7ybsaVWXUnYIq2MR5cxmxa5Tu
tBeEoC4Kiddaay0Ato2HV6in8sd6nd2Xc98dOJDvMyt7Q/e/5HjetS6skSjVCSdN9qNn3TDFJY9K
vy2K9gJGwp6R0X3sykNEtZzbOG/TMtglusWK2QV1TWSaVROOaCvr3yiDe69WPpwkQ2bYiQfJjujB
ssPqTuua8ojai/uzLiHEs/hyl0GT4Ga2JLw3Zs7oKLPxssn0l2Zmhe4E3rMTue+RcG84hY/NEJza
PXRyATt6YePOWIYWXCm7L7fExjB+tYa7UWJUMlN+zSZmUjci+NOb4cykN7MCRsRWf7Aj72ksk2Nu
66swlru2yA6d3Z5IxcNP9ZMqGa985u5sk09IGjvFyQLJJbqKapSahheoGPZ3t5rBbU1Ff+2M4noa
ixOqnF3kFC8++HG9Nm+TmMKQq/amESYSAJCSE+Jtw8YDpqw54RAfhBaf2jkTo1pHIGOSc7hoShxC
cR5C/iKmjPO0PfVT8uMLZ76S+kjd1ZoOvTblfpC7j27l3ht6TtBXD6Sdb1k1nmi20dDelBBJL7tR
LEQURSzr42vXHLRzyAvBMjf10ywQ773nvye0RcyKEewTK6KCQ3aAY26CQYLMKQ42oTLb0ItPKxVP
XI4cdbg8HyCvcnNrNK9l1r7KAFIPgdzutoz9K9+Wr3HR3Qaxbp60nXPb+DV/mC9uLRdyVA4yc5Gn
JMPOsFUHLZgWc+EcAbhCkIVbgIQs2lZlA1TALeWKGAlrWwzVvRzDQzrMb41pcgaRozYT7M71wu6m
Q95hVEJAkxUnG5Tw+64BKcaK/OhFxbVdwdTNXe10HhjVZajG0LLiZYfmMhbu3irCzyB/AWwCFMaI
V1yMXlCAx9AXrAGuBpYipUtaYC3RMaQTLtoatqE/HyOXNroJq/oxTexTI2cKr2szzwNP4UyHy9Ey
6bsCsxDtTEFMTURHw5+eHpOa/OSayVzVZT06BTRjVts8xZ6NxkrSEcOkDcwJ7K+VI7yP3pLMXIqe
5g9JgcueCW+Cj18e+28E3RijIfsgzCXsS2YYsvLECXUiY+phaSmC3KR6DYxwetzOy0B4J0WXXwzj
XC202djGfS5I4vOeyqpcBeSSHYxouvFY4qM0H08E1YijKL2i6tBcMJG0wwg3mxOSPV40zITgwssp
l6QfcM5FWnIyQBNYwxB4bRqQ/sP8HNb+VW2nD0lAjKwlGeaHEvuUUZf3dc6pzcGBJJqACoW4va7n
6cWu/eEanxZLtGzYYpvrkduh1gcCjkNseIn79LGOjWOKHWLRyLxcVtG0JgPbRKkzyoVToahzCvdF
6sOyw4TJoTqlp1kllLAPjUzeug/Imy5E1F9WfsQ+pH+fao3HomDNZ9NdRtY2ld7NaIi9GbBMLxHu
1VO4bi12c8gnjkJLDszwadd6i8gBBjSeRVFjpuM6EZNENMmE1iSWa5EbgDomOsluKuHp1yvgFGur
LFlH9CvbjhApRVes82/7oL6UusPb3tqGVrqfoV7JkFDtmHZ7EtdWiiQn5bBiai93ZpPRYrtddpXX
07bNAoQUwifAyxT63qpAVTOOXrs6iKQ2u4k4djVB89rg7Aii7GmSDMgjR1cohHJgDcFa0Ce+m1qg
uOJxjvZx4AYc7Q7rzmg8qxnlLeIqfCWfByh5/EJxvCuomFuN6Umt2fuwGvdaNZ2WkTkh17Jf6hwV
ieHS0v5/37sZX5Bvf6mjvnlOm4iOLG9Zfyow/h/f9FuXZn2iKpLYmQW3CZA0xs+/dWnmJ+zTHoZU
gPymJS1W+38MmfmK4fGvWe7T2/FNf3Rpus6/kHi5GU5bxt8CviEK/LFLozvzHF1iITOYMn+kuX47
ZJ7buBrsmGlo6tgbD0+11RNSLDjAPQX79nBwjVFIuyFufGO+ArZ2ZpX4Sk0FC+8YJBZIHvkf6k0X
CNz+NZI+EOOuaNeUyfeayO4tDQg545Z3r9C9bTJMJ9JIbwzc2GhVEaZZ7grPmuKRIjoyFN7cV6Bz
MqjIX44k6TgKg96EWXZWKTR6xyGzGxUufTKTcyfIXuIRkLpPegkhkMDVxWxdjJPGe7Vj2BtDYC8C
9Cs9MCIyvX3aCgsXdakRDZlIXpmGt9Fgucu0QSADS3SmEFjIom5IVe7eg1Y7um3L5A8WPOXdqTEP
AFChNPWKF4+Rt1iFiiFvKpr8AFa+VXz5Nkp7/hCY810wcvCDobcT/dzNO8rvqX0YANVrAOv5oDHh
ZMVrD8qEwgZslKLbJ/xfrzWA9x4NJ6pUtpG1+9BHAyBScDi8I27qoFyFJnU/V2bk1cQwvczHnaFq
2pkxUWc9VYCPFpUDq5Jz2pAaEI5WP9SKz2/Pt8Cw1eoOhNOsGP5tUoplkLWnGhiPZd/hQu8/oP+1
Ndy7SZ2Sz9D5N61dAoGLMbnSy1c6QlfihbYjeeZ1YdyElD9rk6N27aHFdSNYbm7bY+Xwn2PK+8XU
WiuJUbq2ios+5Op3tn1Sdo6xDoN6V8+S4Nu09ldYttJNW8XFMhgL+Z4FvliKxtAAp/TybtZIm2Vy
OLKl0NU+PepWU6pfxqKCr9HhBi/j8aZznWutLh+HFqGg0NqzIkpOeLjY7GlFhOTUygD0GSF/DiNB
4PuTc4hcUtU9+osoa/a1V54hOzuL6+59ruyjkTqreLL2ifGgNeYzf8MdaHw44xp78M6xi0utkCXv
Lym0xeh02me2w/CMkBq7ebNx45ngGV6NUptfZRkFJ3pjiHPbb8brwrHfx7Fc2y7W38J8GAQM6LYy
sstc08br3kObj25nhzdm74X5FYuSdWcWGzbjkoyD/iSjBt3O7Gde4zLBMxfJyRangz+j6PK88tB3
+lA+aAQgEvh1MFtkArIEOWuytfUZXvjBgC1gbBN7n2h0cAFYZXDKGcHmMdFCte69lkAJQ8KFdVIO
Rxcz1RRg5cd3N5/lA4RDW1u7bDbdwRtPelIN1+2MSiKru2zrRw2b+Aa2rT0hdI8xoT01+vjUWvHe
YXJZZ9MbIhpWIGDYVglKmE0doiOYI6QSC1M3nr02Kjd9Em3afsLcPjWn+cCEAaTWmuYbSBaK2UWK
5t7RMMHCmjkkg10tyzC46lB27z0jE59NZNNnnlHrKt+L1lUPamkudS8Xu5DlGSqWZsY15fXeqVPb
tEIutAg7mJ9ivaC9qeKD2/GQOxm0qyh0TrHeEvleYeP0nGgP+GaVYfPMddqlztILHtV0HyI1RJeQ
6mTbI75AuegfSlf/nA6SLTAcWsdiLDy12yC0/BOaUG1nSzpjEDFXsgnfBzEdohS6SmYBavbPat87
B2voLgaLX2BiJhXU3l1pVzk1W+2gmE4H6u98fLaT7NznQQ1n97qw3BtmyeckKj/omFAkfCeGLcr3
VTE7we5M9+c9ypQq12j7fCMspvZhRCLLxCCPjTqDjEl/1EwyXFvXPTFyeSasjhze+QK/HEpMW0Cm
Kg9aZb+Ew/SIln9j9d0Nt8MruYd3QTYtE+rxTtaPhFXjgoijG9uvL7q2TVcyoGudbSJmC5PRS03K
04qWdG/2OAK60FpyTl6iC36DS/1mCfBYpBvA6C47cEZE7YZu9tSp7N0c6f1ahOTxNiqZd1QZvZFK
6+318X5W+b2GSvL1KiTUJeG+Ws8bQ3eQu3MtUXEMzZGFKvIWe7gp85JkbBUSnE7FtlOxwT6lbeKP
j8CTYHoQLMychqNQr+3VmDU03h8BxOxBt7iFyEckndhD5RqTVpyo2GLeIi4jFRVmnEsiTeCI0Z4b
Mdof5zKyZ9hpZCDrSWwt52ocdx3nV1/58J8J2LBV1Mb/lcpt+16cP2fvzX9X4/zXArlcFITtf3z/
j0zzf5v2r57b5+/+Yf1RIl117/V0fG+6lG/9shdQ/+W/+sXfCq2bqXz/H//t+S2DpRo1bR29tn+u
wf6aB3D3TEP7Xj//4+/7KhBAe2sKXP66VNURG/qvEkv0kzqJAZR0Kk3pmwm7CxpAoLHElm/JL9/0
R+1mMcLxmIgL3aTy+1uGN+fPtZsJFZhkxg+WAFpPFgDfTtjZPxU+41sXOkxIEzXo2t5ymF3zq1cA
8sJjXFgD8/EWI8x0FHFyYnkt+2pnpN1jO0Dgy3QFpYB3vpadMlgkDU4fqPcEExMr905YbHcwSKYl
Jq9ni10Eg/deJ5PQClZhI+8YYu+MJr8MJgRKLOB2uhe/zi7vshlMn2F1Mx2fOKvbrsGuVKt1J9Yo
X2O+YsMqcMMgWlgB9PA2DM+GrAePX9X6Ji+mYZeB4dogWCWfBpIySzfDPXUGp9+Q6l0tEyeZbwco
ZosqciW5IvjRewhimmucUzGehNO4d2i/nRHZTTX2lHRGS350vfVo1XVvcncpWoFFTBvfIyypaett
SeBsS6Pf0/D3Hk9kGzPl7JugW5uiA3uQWjBr8vxIIhVzA7NsFd2QYcKsxgqTGjDUA6enWxjbMKLn
TZhCkFpeP6LqVoMJ88hcAK14Ma/xam0rNcQYmWa4IrlqQY1azNK3Rm8jxStPURMRwarGICbzEEyZ
e8boiLgZIKVMTHqmMiwDGKIUWr1zmarEQ37syClZEJq7r9XgpSPmaeF1nHN6ZVzpajwDEW6ZZHLA
I88EYR6T8pLqTIJ1Zr5TjXa0hUi5LXjTjqkx490YzEve+rTsnXeLCm6nUUSsoiBGi+VnSJ2Gc7V7
T2vmi1imqjU/EUU6CU5SQHTPMKpJSDO1l903enrrBNZDrgWfo0hDLtfsxOw86V5z6TOY38WTcUk7
fAn74CJN+tdumI2TEMLjItMVTKdzjx6A9az0nl3GswJyGhuWOENOEr0jzXrrCrnVLLjHjG/XEfUP
Fkj0wQllKnNqF9I08PSxv+9nJrJkU2qUbFjLomo+kXp0HgjK/1wjcWxG5xtPl5kT3Kayv9cnl51T
DlkAgSeZEAOxZcFnicdhmVrGY5kQppMw7Rr7DKK6nr5aUtqIB8Utr3570ZfRe+VPr16sneWF9QDn
sAAdMYlFHTBq0cydEetnqdV4nw0mY202d/yU+tZ3RBmwlC3eRO9fzdy1a7P0i5XItZrFjOQu6l2w
lpXvPvttROKw5960hf0YGEArg4jPXTO1dpWoSSHZYvWeyG2gCVpwzSCvPHdAnW4MnQBvzR+eLOCH
7wys7zNzfMlFd5H11TXok4F4Dot4ai5U1mPbEZXX8WwV1EalrOB/FvapLlBkBrp/22WeS3WrNEKB
fSNycyN0/yyfk5chrrU1HlcXPFB8DeLibvRHjUIrJ7oZNqAv2u7QesywGsN46afqgS+FOy3OxDJq
alItCiIcrBAyXows/Ly3enuFuAvpaTbc4jKuCa8c3+w5uZ+mlGgf3zhxXO26tAf4PJ4ajsY3TSou
C5tTo6gTQIzGjlnNpayq06iSy9x1wVU3myztLpwWDK8Z7DVjWpqIAieePLDpZ3qoYSnijES0eQpC
6ejXztKrjsJQ9jq57kVx8JKCb8jkvhTO1qjT0xrP3hiYZ1No1uvaCol10Rj0DJV+iwoTbhV3guzI
UBA90E4r1jdBCX/JSI490h6IhXCJavwzSdzdy6Bcl35K9qmdM7rUzJYCPj4pGbmqGHZ+WdTKqXad
MLlfRXzkHtoTFrVwUUISLgPGhSgOEoqnoT2IZgTNYjfjxjAildIEkXFCJRKuhsAkRHQKCOZmOMbt
fyrLinASrdVJnQMNb3p49YpY24zeuLXMaOfEGs16IiAimyObqBkfDSr3J6u17nWHkL9a5xxNM2TA
hlsmb4THkyMLqSnsjeJU1PWFn8Cumir+2ByeJQfdRS9P2XysBYkkIK20SImVud/L2TpJtfLE7W/y
1PZOKcBgrkEvaXlk+gvHcgtMTPh8sKTzBnIY84+tnW1IyWX3LNtzf6Z6n+rBOqP5GRmUDaSZVRnJ
GSb+gCnG1ZlmRbmFkxjitUEkI030Z1lnAYTySQ5TAlq7r17DbNrB5UephEQ5zmr+R93iJRPqX9lY
lnH3mUvCQA0wCiqZkDfvnBBkDImyOnQZJbhtOYdwTjl4OravDZYAbKfWcFEK/YrWBfH2DIy5sMqV
iU9qWTbxMY29pyYcNnEYv/iFvm0a5yJBnrrUYWFkxBHTYhAWOxT5Ier51LoaKHCYNpixDes60Kbk
tauKk3CUavBe2MdCR05bSUdeAswwpm0v5vTWbIfqQQt5x9lxfTvVcQnrzovlSf8xTs8JTps+EKZw
MffZ5Fyh2+l3QLL4O6xsw0L3MABAHZ3qxVP+83LYOUDqQ0CpqO7OIj6HEoCqlpEyEwk6MZSDth+x
L5vkia5XR4YgjyMQVlrg89S1UWIl+0xRWj1wrSwByCjFVO+Y07G3sJIAdmXDNy1bQlDXU1hOixj8
K/lmVD0BFjlb6WhAxPInsi0FGsurhmdGvEv8sEung0uGLcGD8rNIhH2ZpDMcneaoWeNZMel7HzAt
kgqmBXCmNbhEo2LX5kBsxx5U+OCEjy5422jGVcbXxdIAfRtP2TtRiebCqaHixjmfvteQIc+uwYCb
ywN7wgC9XjFpyneV04E9c4mV7RRx11fs3QGM0wyMlxakYIEJn9dXpF7xweyN44OuKL5NVjRbU5F9
Jw2xH6s+CyGzvALPNy4RQlMkmfZdnVtnA4jg0ooPBchgs9bPgUS2DJyT7YRAY2MpvrA9Oe4Stay5
1TSOI51mEzYKRGJ3Gp9NxShGDnZolR6+V/ziTpGMDZ0htWZO0AItUpcDoyR2xYsv9TS8zxT/uDO6
K9wxzaKdOn3R5T3rCHyNjd8fU8VPLhKoedy5aDFhK9cF7reeU2dTKfJyP7fphg8nXuqZMbMYJWeZ
mE1gzRHY5ljxm5mLZysLpPMU0G6BeBZGgcEe53OfTK+dgfE5Hl5a9BKECL9WMYSdXvGiYbRooAx7
0iBjKhKg0lUVkTlO+dp1vCPaLC/XTWW6m8CdlP68CW80q7ntFam6VMxqD3i15bFJBWZtx/r9EMUv
+OR2UwbtukGvW5NvwerV5sWRZuS09LxIS7tmcK+I2X42vgUgtC3g7iZCdglae1aM7VHRttHJVQsd
RanRkXGuiNxNm0GmUZTuKZiqi7iM7cOIJXiNgo+7ECHicuBdlkS8HRzTgI1oM5lCuZrzSqp3dtm8
92PwUHnuux+I8raJWHjoUfqSY1tlhjevqRm9VWIQaiyS5rY1HBi20wH2grGkPc6WOJ8TVXjE50wY
HvoWNKFnKMi4K1eGV2LZ0A3A0dolApltltHUk7ZJkcKa84yyUZVb+WtfjQc/cqHPVPhoaeY3XKq9
LoyXRNrofLCJCx9VozkTYNoGzrBOi/xl0sfLv9/8/pvl5X0F4pmEt/xzydndc/2c/K//+a8x8dSP
+qo6o+X14MGy0viA4n3tiSUBe+Bg2Wew2kVGRrf8+z5DfnIMm6ki/arjSdehXf69JwaXZwmdVQau
RAfYnv13RPN/DrCxGOC5Ns06CfLsTgwgt9/2xIHWGbhlgMBoPvwtPRzOOiGwjA/N6VTO10VBgZl5
IM4DcK5xK3Wwkf4NS5hpUTZIDGT4FoTBk4gYLjsjsmqHwZ5OiEOP0Dpmll0zesUdQGgcdsFofmmA
jOpteK5CQ6MxcpdeC5KjzOuDWdlbfyoP6LrvMB8qrCRneZ9gXcIsn2U+oif3JgiKYjlV/apEhgak
ubfpuiqicUaYfn28bBr7SqThozU78hSQK3vR/BJKwyaLi3VuU7jY9jLBs180M4Jj/xkg2ErGJKfS
Okcdg8C+QcrQuIchDA5WBP3ChGS/LB21B0HNdLAGctHNbobNGR7BPmBfjh+zkEmBCfcDNsimFITK
EORJFgH6Z3jjzYgQqIGQNgCsLaG4DvD/eOP5Sw1bntCjlVFRA1Zoa5HQVSE6DbtG3MTlNpIUyg1B
NTENMtLzq8DJ7szWWHbuq9DYYkCO3lh2cAv/Otob7hVmcyQKnJegVrZpo6FRZkm/RHK/lUF/nB19
MzamiwrA2Y+1EsI66AgSVyZ7MXXuslFdZN4m9+oWXZIjTT/A8Hspy+nMrqd0LT0tvM065Etep/Xb
MbPzp9Q2mzcCf7u3vI4/O8D12NaSGk8pXpMv43evlSYwjlUOQvQ6X3v1W+4kz8ybT1zNv9fNCIdc
egX5/nRq9JPMplHyEdu12aXGES17RIxTFaPSzh9mhntMUNbdFDfnBUkJCyM0LuyI4Dyc+Fs5ALyY
6ZXjGP65DWIGaN50JSPnTKZVu7IQKG+Lpt22ZDTt0KCoEuu68e173Q+vpMWn7NRInuJp+ffPzn8z
uS5uH+Z2gs0qB5yuu7bNTO0vzlD2vk0Zpc0/1e3+wx/420lqktXOMpHzEh8RQc5fD1LjE3pZtLnC
ZDHsEn7zx0HqfJJofVn+umh/f6RpsQT9Kt7V5d9bDOs/uo/+wYX49iAdMptptUVFZsnRksSCOhAc
YYGzDU5HsgTb5sZr7JhufE6YANKO3pgzrcVCYzh6q9vsPUgENnap6+vbSY9VnIVtEbzlOsz63eTK
yvKR6JOsPo3D8Y5WyF8gm+sYhmm3Y5go5GWCWwcrMuajfE3BwXk+s80MgupyKivcinb8zvmibfXI
m9kidzGbJ2Yygdue5pRzglOy6xHzeQhSEXQwlCvppeh9YC7wpTQ6gmcC4xIVl+kQI8zK3Isa7iHJ
FdCjO8yWXWu8s1nGUhCuLBfnT8WKKBUAH3AbPZJfTVCVhlK3apJwU5WyWKYFDWDRebQWfnzhm/Vm
QsCjzeZp7eLaLfpm32Qa0WlJBLSBDGc8mhGoIGBATPv60zJjflO50bo2xdEbRLo0MqrvHHPtGtkx
TobuM03NamjSY4+D3deHpyKq2OORwA4LJ3u024qdhaqwY/YjZtE9JpKBX5iZ22mAaJU0wbPtlrtg
APzFsBQlUr4fonpXVqxceCxeU5MtDNu3kwYY4SJEOowuq6FriC4da/ocatZVnvndUm+o802LCTTD
1KMwC4YDHuOkKbRu6DfJn7Yg3DCXvhCjMb9OJRZp4q4NOvrh2jf4pQJJj5ZWdbZqNMH4mWErfDXw
IgGwyoXdJndJKHPSyfO9l8h1wHavd6L1bOh3Xjnnq8zWWpIcJ+Ranr+AP7iv2CmVDoo0t0C26Hh7
jtlnV8rX2hxuTDZSraY/1poERFMeLF9uGrW6wlt6NZrpCiPoOcjm/RyTEaShInBZUE8k2iwCtQij
WQe35SJpdtSaLGRf1k/ouyO1QiPjjWYqItaR7ZpnmQ+8fs5Ltm6G7RP/iq6abVwm5+dWredqh/cB
3nR2diHbuyHGlj6yz8v72EWbp9ZK2lnExi9m8xcU42FKkneDjWBQ8ArM1ZIwVOvCiUxrl/3hNIlV
phaKFZvFMCn9QyhTZjhq7RipBWTXZ/terSSdAZ1sypZSwFDw2Vr2an1phw3Yswr8kVptemrJGbHt
TNTa0x6NJ833X7xJO+V1czIkYj3awDubArcUO1IqCijvOVmdapFqfOxUM7VeLcsY0yDNz3hWQrH4
TOx1BFY+uErVarbXjIOrlrUjHnFNrW9tixt0sp11pla7hG+cwltl2cvWN/SLcoPb4DkPJBvh3iWt
PVZr4iHQ51WjVscNO2SXXXKYpvuW3XKilsxCrZs9tXjW1Ao6/1hGlximpYwPzKVRv/bF2lMra7eo
NjSE65o1/KyW2hNq+43RQqNze6CqbL69xuV6BW8ww85MOZ9nbMgN1P0pG/NWNPZe+9iia+zTUdTe
6bKRJvFNZUzLmntTsg1RYZLNzOo7ZkzTuN46Am55V84GMD1/0MjlouKx772s0D93kMrQrGoOmexV
lbNpDgHi2ZiilnZRrEBsPEYsr9h/hj6vfsgOoWlfyzyDWJBvsAQU8GGTNYOipT5gCQVdKPZZXybb
0ZqLE2yF887waOWxyz8kZiQAierOFj7DYyp85iUBKv9YqyWh682dFjCEmBVvNgjJQPfFdGrN7oWH
AQv+PWGpMxDFKPIS4kFYnSeO+woyokMDE9+3uhYx5na2M+mOe5bXPjLYBBekeUYQJSIiue9D8sJS
/OXpmsIrIvsVtedl7dTJWWMFfFYOvKgsCShBxeSuc68IjkaNgSSh911FJLEQjUvl3xVQeCGnyZNB
+uLSnAfrqR+S/CZDBcIWuRnuGQYN20aroRWHZnfU7QYwgDUwB8FAiFLZxF1CqCS5KsIvnhsx35eF
wx64z3BY2Shiu6Pd3tASgxJIjgSx8CC56bNIgmOLKqkwtIcgj/G41N5W1qH+/07l9c16909L2y9e
LqxeaqV7WUR5e0MLopRx36x9/6X/6Nvd8J9/0Hdb4Feksa3aKQdRkX+3zbV/7H8/ftLHr/JXPyF9
5jfu3lgwC9ilwkYFSIcqCWRVC1jGDMFvXzbtT+x/dYoxqjfnS51GrfjNFfrzr/7n1ff/2X/z3R/w
nyzCXbrt72rYf3Idfvgx310HSBM4ybAOkx1Dbfr9dbA+6SZGeMBCLKMpmVEr/orXQVLi/vR1cBhw
gKCx0WAyBPn+OtifDBN7MzoURiCIA7hMv+J1cJiJ/Ox1ENzxTH88A2Xrh/Pw2+dCkBlkSINUIISq
v+Jz8XVE5v0o7v3bj4b4BD6C7BxEuVIFJHHvf3sp5CcgWA5tHnQ9MhrVHfMr3hK//V5/CHL+9nVQ
5lHWiAzf8DgpRcqP10F4HrcEl4lu6+Mk/SWvw08flc4n2NgMH+0/omy/vR+4TMLS4VQjBP+NHvJr
XYffHw1+wZ89JfhbDZNJLIknUDRU2sl3j4bNlEPqRJ2bElAdUvZf7dH4/VKQ2fKzl4LRuGQwjljr
64n47V0hPqkgGcWTQR9mMXf61S7FF1eD89PXwfkEysbAnI5mArP5j6cEYXNo0zgxqSLwjKsv/1pP
x5fr8F9xP0APsk0M+oC0PoSAPz4ajnQoOv84TH/J6/Dlkf2Jt4YKWKJi0oXHy+PPBbb5iZuBA9PT
dYPQAbVR+hWvg/zpgoqjksmty/aMv5ej94e3p+ClokSoJE3JX/g6OPRHfD4/dT8ITltm3/ii1HSb
D/zbc9IhSwKxJxGWqrrmFftr3g/qTfdz14EXgqdjLUBFzFmJ2ev768DO1DZ4MLgUHJUfeZ2/1nPx
x6vzyxH+c7eECW5NsCeBrsZW5PtLwa5E8U8Yp3r4OT9MdL/opbD/C05L738zdy45bhtBGL5LDkCQ
4lOLGPBjEYzHsDEOsqcsYsyIYxtSaMCzcja5gI+RfU6g3CtfNR8ixbZMpbjopS1NN1nqrsdff1XR
cRsxmES5xaHCsAZ4VCm8c05No5XcgyMaeEB3JCTy9H067SVTbUnFZYgiJXkmzkTqrBwWgCMyKg1g
PMDIiKH/n8FTgbdGmxKgS3Fn0+vZ0auRLqElUAMpsSfThsCizkQResQXobTCJi/aaGeX7kWCL0wF
m9qNSPjF11QbRyk8GnzsM7MRerDNozTkg4QaFDLETrpT6QKKklxSxPVPiLWFVDS2GcToND/3wa0C
SJjmY1cvhjrignlF+/ksXeMxibPAGRt6VJG3WqMi0JYgeg2i6agoJmy2qyEqgg1IaxTVx8CTDRY3
FIXEImHmE3hhZFe06HTzdshwdn4infkEjKBEt1eHQzEEnk+9OfkMKt+Mn+GmGPQmAyoNJEUCLnGY
CK3OlETkSQnfKqOFnuM+tqh57YlAS5LeYUpDFImNHCsJ0CvpEYGvkRKtr+Vjt5REA8skC9wMgOuA
AYeglmKRMUTDq5F4iAcQmzCc2Mt87JYc+rArWSASlzyXT4jZ+I5nkXjoSSQSEGfAmnQ4El8i1gjw
GUkCU2t6DmGDV6JCSO6AZgYMnXTVoVrgYgivO05bWEaAl+HFIBEOBxoPmzDD7YshrVC1ujJFDDGu
AlYSSO7MoQo9/Cnoo37mh+JGOKorpdm8Vg4CywBPgTiQ8pfus8Mjgd8ZAfLTWL/hqTb7ORR09boy
WsB8ArwQdYJiZxCH4zOzkXormjiS9pPpSlQDOofL9KIIFxBFBkMCJ9qmLsn4xZSOJODcNMIiAHXN
jzgJQn095Edfi/lcoyIaDsTwekRevIqbnIbB8Rz1I2RYhk5NkNkAyacDPt4CQ2vP1WUEw8pn/jPE
CYJ1047aUVFMGnhfHX8CO5DgBaej+wcIleBQwyORIKmIfiFAEhQw0b7btdvRJj/VOgKviRlzCbFE
OyllLIeVhwsBlSwiGkFVtBbbIcvRRhtqlCqlKC6VBCe5/3AFMWAsB2EWxTAkwAZTCTfcPA764BMx
oBiIIghALaQ6yGS4EZhNksAkgl0FLbPmuipgGVEPIA7ChJnohsAj20ETcB/0ysjBtcNgrXPSWg4i
cIGzCbsIRcVbGKrLwMsSDg3kIX9FQjhuYpxZamLGl3qW8vP3ZbU1JOayONhozN/7QgfRTT9vubum
Wygc5dEXpbNVs3dhiNPy7ycjYq7hFw8+7PjGZp/2z9sXnG492qt7q+4/f5F+WPt377+YD760jylN
v37+6fh1O2tAqaGNnZ5u0qSrPxKXNnuR1/c5TXGqw5DP3TtnQtrUbsGsyE357195t5L8GP0G0gRV
u8HN8dsu31ysDTztB8qv3q+okNmM+WcCnGo3O/5T7OZttsCb3R7//jyvSl1skfbVXh3/3NefZgxi
EYhNu9nrKi/nDH0RH0i7193x22Oxm7ObBMTq3a4aaNyruv+nL97mVX65DLe/ahLhat/tbV5Xu31+
+GPGvGZpGaje76rRhlpZXjeJSLnb9U0o1BtWu5HSPznz2p/prry3rbzAAXha0Z/2Q9GdpFObcZm5
pH3sHzTCVMr7eXEoR1a8lTfesvbBX+Xbjx9sEscT1K7NxKQN47i6hQYSX8B6Psurz+V0aWFXa5/7
tt4+WkQixEzt0neFMR/dQieRSMmLdvGXqNMKj6JbabA6YbZ29Tf7oqxsEl/gbtp91eaUS7pI++xP
Gfq1z+tdZTmMgiRr1399v7etvMAdui0fNvmjTeyL3KH6YFPkQs3XiuTFx01hE7dAMNq1cVW2tUUh
Zgsc85f0qbXaIOHNax/813pXP9gefIEzfmmIhtL+/MZ7G9ewk8BJswhio5XKbVl8yn+3qC1h6WgX
v6n3D3i23ULmyU9MQe3qvWSu7F2j/EFumjh1+FICeCUxeRJTAQX/X4iQl1/PBnD0lddT2KOrurb9
2RjTkW+8q4p8/+Q/AAAA//8=</cx:binary>
              </cx:geoCache>
            </cx:geography>
          </cx:layoutPr>
        </cx:series>
      </cx:plotAreaRegion>
    </cx:plotArea>
    <cx:legend pos="r" align="min" overlay="0">
      <cx:txPr>
        <a:bodyPr spcFirstLastPara="1" vertOverflow="ellipsis" horzOverflow="overflow" wrap="square" lIns="0" tIns="0" rIns="0" bIns="0" anchor="ctr" anchorCtr="1"/>
        <a:lstStyle/>
        <a:p>
          <a:pPr algn="ctr" rtl="0">
            <a:defRPr sz="1100"/>
          </a:pPr>
          <a:endParaRPr lang="en-US" sz="1100" b="0" i="0" u="none" strike="noStrike" baseline="0">
            <a:solidFill>
              <a:sysClr val="windowText" lastClr="000000">
                <a:lumMod val="65000"/>
                <a:lumOff val="35000"/>
              </a:sysClr>
            </a:solidFill>
            <a:latin typeface="Calibri" panose="020F0502020204030204"/>
          </a:endParaRPr>
        </a:p>
      </cx:txPr>
    </cx:legend>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olorStr">
        <cx:f>_xlchart.v5.11</cx:f>
        <cx:nf>_xlchart.v5.10</cx:nf>
      </cx:strDim>
      <cx:strDim type="cat">
        <cx:f>_xlchart.v5.9</cx:f>
        <cx:nf>_xlchart.v5.8</cx:nf>
      </cx:strDim>
    </cx:data>
  </cx:chartData>
  <cx:chart>
    <cx:plotArea>
      <cx:plotAreaRegion>
        <cx:series layoutId="regionMap" uniqueId="{EDBF0425-BB13-4354-903F-3DBA29F7371C}">
          <cx:tx>
            <cx:txData>
              <cx:f>_xlchart.v5.10</cx:f>
              <cx:v>AAR</cx:v>
            </cx:txData>
          </cx:tx>
          <cx:spPr>
            <a:solidFill>
              <a:schemeClr val="accent4">
                <a:lumMod val="75000"/>
              </a:schemeClr>
            </a:solidFill>
          </cx:spPr>
          <cx:dataPt idx="6">
            <cx:spPr>
              <a:solidFill>
                <a:srgbClr val="FFC000">
                  <a:lumMod val="75000"/>
                </a:srgbClr>
              </a:solidFill>
            </cx:spPr>
          </cx:dataPt>
          <cx:dataPt idx="10">
            <cx:spPr>
              <a:solidFill>
                <a:srgbClr val="FFC000">
                  <a:lumMod val="75000"/>
                </a:srgbClr>
              </a:solidFill>
            </cx:spPr>
          </cx:dataPt>
          <cx:dataPt idx="12">
            <cx:spPr>
              <a:solidFill>
                <a:srgbClr val="FFC000">
                  <a:lumMod val="75000"/>
                </a:srgbClr>
              </a:solidFill>
            </cx:spPr>
          </cx:dataPt>
          <cx:dataId val="0"/>
          <cx:layoutPr>
            <cx:regionLabelLayout val="none"/>
            <cx:geography cultureLanguage="en-US" cultureRegion="LV" attribution="Powered by Bing">
              <cx:geoCache provider="{E9337A44-BEBE-4D9F-B70C-5C5E7DAFC167}">
                <cx:binary>7H3LctxIku2vlGl9wYoXEBFtU23WASCTZCbfpChqA0uRFBB4PwLP1fTm/sB8wV33/q7G7kr9X9eT
ZIpkiqoplYY2NrQxKysZAQQykAfufvy4R+S/XA9/uU5vV/UvQ5bmzV+uh9/eRcaUf/n11+Y6us1W
zU6mr+uiKT6bnesi+7X4/Flf3/56U696nYe/EoTZr9fRqja3w7u//gvcLbwtlsX1yugiP2lv6/H0
tmlT0/zOuRdP/XJdtLlZDw/hTr+9W65Mp1fvflndZDr3dGNqfW3wb+8WbXrz5R/hqvklL7rVTfPu
l9vcaDOej+Xtb++eXf3ul1+3P+qbaf2SwsxNewNjbWdHCNumhHKJbUQlfvdLWuThw2mCd6SNhSOl
w2z4H5Kbjz5cZTB8PTEdwoy/P5+72axuburbpoEHu/v3ycBnk39y/DvfjG4K9/47c4v1/Jfv7x74
1+eY/PVftg7AV7B15Als29/Xf3Tqj6J2uobs976aH4ZKci4kdxhDjEgHsHgKFdvBhAgkmO0wgoQU
m4++h+r0T+F0P2oLpPuDbwAhtUq79j/fpvgOsglYEycOxYLaW0DxHSooY9K2GWP07vS9+dwDtZ6U
3mD3koW/bFEPw7agejj6BrD6m56SetUm6e2reEGbSI4dJjH4OoK3ELN3KMMO5rZgYGI2djbw3CP2
OLXN8T8O29OxW9g9PfUWAEz/+Y+kyV8DPr7DMCaMMio4QRzR556R72CbIsoIRgSBWW55xr+l7Xpe
fwK7zcBt4DbH3wBqatU2yesQD8Y5I4JRh3AJ1vccM7ZDucOp7QCiti3WPvS5k1xPa3Psj5vb/eNs
Mazf3m0OvwHA/taG//w/N6s2XHWvAZu9IxkwDIwQc6hwOHkOm7MDcY1jKZF0HH7HUZ7C5t3Nq9Tp
71LYlwPc07FbBvf01BuA0Cs+3b5WmFtHOIQQdRzwhlthju5gyiHEYb7mJ5yAST4D725am2N/3Obu
H+cbm9scfgOAffnXm9U//9+rMEmIa9gm6C73otx+bm3gJKmDmMDEIQ9x7ylg99PSvxy0ub7W5SqF
lPHH4Xv5LlsW+PJFbwDaMx1CjvsanhRYCeFAKRFxMKGIfRMABVAVDl6UUIcSAYn5U2wf5vWT2L58
ly1sX77oLWC7alPIKRrzKpYLWQSyBURCxu9ThufJuk1szBwG/Gdt1c+g3UzrZy337Hs32gb4e9e9
AYzdL//WvAq8WILWYkO4lOChtyOpDQmJEAI4EnHuQH6OsHvb6D/BgB6GbaH3cPQNYPWUxt0bxEsk
4wdVM3tHSEQFczgDQYY4kLs/NURnx2YYpE8hKegxjtjKDf/YlP4rCetz5fOptPs/VP1Rmn8tjXfZ
3kyvQQ7gtcTADASxJZAEYOPP31q+I0BZlFTeCb0gezz3L3ez2hx6yYZefmEfhm35l4ejb8G/6Nu8
0zdJW0+32WvoUIAaERzZNiS+hAoCsDz1NXgH6iug91IiyZrUgUz1NO7P6+KT/uf//hOqxuPILewe
T7wB+E6L8nWyLGdHCogMErCDSP5ClgVEHEOaxaljQwjZSovvp/WzXO3lu2zB+fJFbwDaeZt+un0l
aRgLzAh4y6864lOTBIuF1BpzkLOoZDbdyrIe5rWx0z/uSr8O3ELw6/E3ANp7cF7NWst7jQoaBaVe
QubEbSh42lukDe8IBzMBqgciEAPtrfD3OLGfUz6+d58tTL932RuA+Mv/vU1eR0d2doDWQLlGQqV6
zby/UT+IhLYDECOhMHdf634aKh/m9ZPqx8t32UL35YveALb7t+kr1QjWThWUZHC4giIot4FTfepz
6Q5U6KgjMUMO2dI+Hib1k8C+fJctYF++6A0Ae7ZKb9pXcMrODgiVAoFfhoh6Hyufwkp2oKcBCq0S
QbvUWtjaRM37Ivn9rDbH/ngk3YzbQm9z+A3gtf/l35LVp9cJpM4OdQQQHArV74fOhaeYgTgiBCSY
yIaWFLDVrUD6ZGY/F0m/e6MtVL973RuA+fTLv023ye/3GfygtrVWCcCHIow58Nut4hC0GVG51p+h
CQkjakOl9mkIPb39D2fzskrwdeAWdl+PvwGsDr78vW7L15EI1h1868LAfT/llrBDd9aZKIY8kwPB
/UbYeZjXT4bHl++yBefLF70BbPf/+Y86W6W/K7P8sB0CmgwaMzmCf77RmOmOA00TnMIJB2Hb2bLE
/fY/nM/Llvh14BZ0X4+/AbQW9Ze/N+lr5SCIQOYhQIpDdC39POep0FVGmURQx8P4oVviqQNdQOVw
PbGNW/3jlOZx5BZwjyfeAHJLfVt++Xv8u9/PD9sZ9INBxviYOzwlM3gHMZtJaJGGtrJ7OJ/itZ7P
6ven87KZfR24hdbX428CrOzT64irfMcBGgJl0rV+CgXRLSNjO1CY40TQl+tvSw3zmvSP29jXgd+A
9nDDNwDa+1Wa6VtwQ68hwEHbCeRxUGayX1hrAA3RzrpVDOQbWDMCFHQD0H2ut5nY5ugfd42PI7dw
ezzxBoBbfvlH9+Xv+Sv0JUC+xzFghhBhbC2wPA9pcBocJPQtQI8mAU+61cj+MK+frWV85zZbiH7n
qjcA7ybTewW7hIwP+tsRqOJCcEfa33S6E0zhKIKiB/hcvl2qekhBfzJ/2Dzf1m228P3OVW8A34PV
TZG/hteFxXignGLJoOVTQAVkC11nB4wailXQVQQNK3ennxKc+2n9uM/djNvCb3P4DQB2FMLqw//8
IAk1DNDWbDDGux6NdRfGUz7KdsDVAkoUKowvwLWe1I+DdT9qC6r7g28BqHSlX6UMvC432bCUlQrI
EKAvb6vcRKEDAIB0kECU3DeJPbWso7tpbbm7+wv+OLV58SbbQL70QW8A1/NV+jpdmBTYqQNcBhY0
YGiSfm6AZAfMznYoAzbkAOfZqjWtJ/UnMouHYVvIPRx9A1gd17f6y7+/CjddN0dBFyb00rBvF1mC
iQKWsOoLShUPLW9PbXA9rfRPwLUZt4XX5vAbAAxSo1dZocd3OHANqOlBiYgSqB89t651e6kNy09g
hTNf05FNLPuaAv6Z9Xl3z/LNUqGHo28Aq/M2abPVa1CRNRiQ+EGvqFgvF3mOFd0BIsIFAmcIHhOM
7zlYd7P6Ew3pm3FbtrU5/AbwgjLz6pV6nIDsw3YOiAOh/7Z4Byu7bAxLKGGFgcTrmsFzwB6n9XN1
2e/dZwvQ7132FgDOdGpeq/WQQV0d9DF7veYcr1tdnqYHDqz/YjZ0JjqwCBrz9QLop/Hu7GFiP8k6
v3ObbYBf/rA3gO/7Vb1Kvvz7a6ltDpFSQqMT7A9xv9r5OcJAStcWzqGoS+66GJ8i/Di1nxXcvn+n
LZy/f+FbgBq+3DtfvTGkl3KzH6w4QQ0QQX1ivafENwaMd2AltUCw1J2TOx1887kPDOiPTOflitPX
jtJvmdDjTf8bInb/9t/D8mz6f2LXKptB24sNG0S80IoGygvhCKIngn0lvt2vZbPN1ven8zIsm3HP
pv64a9fr7E31/X2rvu7r5a3Myr/bEOzJ1lW/f/buAWEXs62hDxHoRcO5/7b2bn57Z3HoK4LuXUyB
lnzdbmx9q+cR7Ct3eomkfHOjW1iI+9s7wqCniYNIA6tj131p65a0/vbhDKyoFTbo2tBlActrQB3N
i9pEd7uYScJg/x4JZUYIp+tdzJqifTgFSipBsIzaAUteb+2zefbjIh3DIv/6RT38/UveZseFBl8C
s6Ho3S/l/XXrCa/dAF9vBQTToDasz1p3VZXXq1PYJg4ux//LFuWUJHqkHmhMrWomXKqpr7SXxl01
11FC3nPbWo5NRU5sJ+j8LpqImir7tJim/IqUvTmtgkpFcVW5WdxetFN9kPbBrkiyhR1HR8Qarhqn
uBlZGKqwRIcJDT9YibXMC+TmhTXTuV52muyakh0SgzM3H4VroW4PoVJJduPgYQ+Z+owxUbiNPS2H
oZhNRiwFfHQrmz3ehnOSW24Vkt0yHhUpHTcKOGxH98kOGjXq/TopfVQFKibLygm8aUwTJct4bo/y
tHf6mRjDkyE9q+NIdT3e58M4H6drkefLtA/3+xJfTHl9bppQsfqgIdNVmwk/KpcJOrTNTV6uUIrd
drqkEfOs1FISd8ekTZAKMJ/8nvZXLQtdEsnBdUwyzfOx9PoIL0Bj2jU2dwW9KvC5jQ+bhHkh7ZZB
go/SotDe1BEP9XzmjMadZOKzolBhqy9zylVaJYoPsWqRo5xI7spSqqLifpKyhdYcHqVVCZeKiFQZ
4rjdyI8zekD70AsDtOjDYL/q0nnZcWvXRGLaHccEvq4ENwdF3g2JQiZtZ2FVpKodnFpZ4eD3nVaC
6XNHf2y60RXOoAo8HcVptSvTcq+SRkVULxxzVvfhHrGoarLkgCbJMuT5cVLWi6iPVFRVKm+nSqWo
TVWi011LVlcynqWI7UYlS/w67JsjJ5myQmHceE3yuclSPyIHZWy8xFpZSbvHwuMwGpc8CD9EHZrV
GTxunt5UGfczg65HzPeC5lJEWXBUVzelNSjMmqXU9Wyo2ELK3uv7aV/T7iLTVGXMcgNthhkuzSoq
zHg4jgsRTPMhzbNZFsoPacXVQMpPeVBmqhfwTTCZuAkhhyEt51Z+aDXxoGpyYZj4jNvkCgcjngnT
ZL7lhKmaCiTVME69Ym3XeWyQHiiBHpm0cmKzQEG1Sqq0n2VjNqqm6uScFOgAUeONVdyqHrF5LeFl
lmWqnm4i+MwtXBflWOswetjb8euffz0vMvjvblfBx4PrrSEf/7rUiS5vb/Rq+6q1S/962ePWhGsH
+nWfwi3HfL/B5MZz/cjJH3PpsJT991z6y9t8fBsZ7m7z6NChXolgQSSksfzObT86dNhqBoKJw2EL
So7Ba28cOmyOIWHMQ5HzjnptHDrsrgeNdFD9vN/yBJMfcuhrZWTLocOOb+DPbdhG5W4bzOcOvQ+p
6LOkZl7FQy/AhW87zmLoKrcsQpfajYKSwSyWgUrSzwxdyzpw4yhXSXmLrcINqtRNDfKHGM3zrppZ
HCtjezm9GYvjoQ9qV2S5R7PGHUW6MEXv12OyrOhV5sQuj7JKdbxLvaKXlybuG2XnaL/op0XcxQdW
YPxugEhDJxXWo5ps4fM43Sdpvo9557eyzfzGAcumodu18e5k6Kqk8axKj2OE/SbIZhwlnp1T19bJ
IZbhgnWFH6Xcz8fWq8eucEU+uWM8zQbau+GAPjhGuzSaTzVWtAzdHpdeO4b7ppln8nCqcje2T+PQ
3mvTXdl0yuRXYcZcmtmuyeh03Ftg/U2hrypk7UXJlV0OfsfEaRTI/XaKDmFXL59kqXVh8jTJ/aoS
yzaIlFN0LmwnNUOlnOVhOQ+cygvKWcC5FwfHSOp5ZLhL6o9FkC86Ep1w2aushABsFR4Nlq32ehge
MKIyGamk3R8i+yROHDeHB65qplCp5yRCfgNuL8RmMZSXQdp4Oedu2RE31pd2vqeL2HN0qgqaeQGV
Kp+q2ZBXLumWgq+yVqhYhIBkDrifhLLwsriJFSEYHiCYV9F7OtWzKT7I+M3Q8YMQt/MB/J62pAqG
4ZwGtl9aDKYazEM5qqiEaRMf2ZXX62QmhTnqkmmGssOaNbO2uQ6KyjeUzVgF/qzJQwBAFIcFC23f
QeG0i3XE52PauQhX4GsPqEEqtMbjSha7wJ0teCswdSMchV4DvvCUBUkN4cSU45kIQnFKW7u9xWFx
UVnD4Ti0RnHdeiyuV05cC6VZNHnC1gd2MvgOjmdREniMrgIr3ivSYG8aOlWUuS+iUxSSGU/O0mox
Zp2jRM/0vIZehdiraSy8ss47l1c3Ub3CVqiSuq4umdUd8qaeFJZ0HgWJO0Z4xTXonP/jrkEShHZV
Bxjw9+n3g2j+6JwfBz145rtmIcijEDSSwLqe9b6ID54Z9i8B8s3A/UJ3F9B80KYePTNQbdj/DRZ4
wf4DIDo/Um1IlteJAbSEYfDz6y2LNgHrWUyFtOPh76dUmznfUG0CPUrr+ABc34GWJkg2nlJt08gu
kw2zvCatrcwNWXs7oMh1hrIEcqVP0qnyrcQsp8gsLD18rOLuJB/GBbfjo6zpFm2R7evY2eUEe2OZ
nBbI+jgVwz4L0wUxoY+b/oAPQ66yJiYuTW1logboPO3fW2EolN2Vc01N7gJ1127X53at2jD9UCC+
4oaeWqV9K0K5EgSMqgyLM9PSE03gldfTborkHs4jvx70oZNCDlDRdjlw7HM8nNlx6pGxm5GimJVa
qjBlxyTUBwXktGoKBw7E1TkvKJ3pGs1kyg8TlHopLg9pLQ5TnSzaMbH9ISnOLKc/oG26kkV/Suzx
TJLuqpqKmcO706KRfiOtRVOWS5qNBwa8bI2p3iNd7YVcrkjX5DMZAZFkw3saOJ4Uk9ei2HLLHgtV
he2sECYHG8btPmCk7IkfWQWkT/m0gprsklZAupspOQhYdFa0EE8slGaKar0a6sTFYnLznkaQVAxo
2Wd57lWN6DyR89anrBEz2+L8spMQPoqkdZRB1uCyqia3fYjFRTMQn4pmF8XBx5DXzgwW8TOVFWSE
mMVzHzUm8oBf3gDzJQoF9jwcs4+RQw+CaRLAIIujAUnLzbKcqNF0B7RG1VLYeevnNl/FESQfUxPt
WTWv9m1nqHYRio3b51HsxmlXeRCbxYLnkh00ohg+yd6yjkxhrXBEh1lWmtvaCj/FCT2K9FirSaBl
UCSXjUH5sujypFRYWIlwp6powIHLadGjgey2NNprqDRAJNiSTo6qM3ZV2E7iZaQ0fkMhkFLaVMfd
WEu3SXEKPFg2XmeJMwyR0TKTC3w8Uy2JF/E0GRXKJFIDEC2XhyXcoL5sksofTUndKQxiP8HJKYOg
QGiMZoXdWcrJCpfkjoL3hahiIhfcGmrV0Kjyp4jU/hhCOEkZxNx0aTpnPmTOXhyPgcqC4H3Rl7sN
Hc6nIl6YuitUkgVuZvGDsRAKOkdVCAhFid7rpuKwLZqjIW1mILP5ceW4GhfLXDbHQdudRqUolUjp
cRgm5xPE0or1VAlhndU4wAvHiQ/6Ql/ytr2x4KmUlOYCWo1L1dKOQcaatYcksio1FpADRE3dqyCG
d0l0ebTLreYDKtmnRkahkrZp99OpYK6T2oFnj9ZF0kZnpofXpItry8+m5BNDwQGO8KwJ2Xnp4FqZ
TEJuPQUXk93mflgWbAnZcjVzcAG5bSXbPdhfOle4KRtVWHTmZNHgwntzltntUUqGT2zoLvsh7m4S
1t5QNN6KJEjmCUqqwzGOz4KUlMDA8mYPKGXh8iBpvVDWkPjHPAUaxa5gm+/zAJZJe2UgVk1c01SV
U4h8llu1IiYuPTrS0WddcCLy7EZyuwz9tCkvmmxq3ZK0uwlt5GcUo4N0wrtVOLp1x1olptAoXdEP
XZcchBG/5rEdqsqho6LEXgEBZ8pY+rrvsg5sGpKwVAazjOIr2CO+d7Mg/AwG4kcy/WByp4GIbpcq
cbrLnIcX8J4cE91NbhXL08huFoUlIT3umB+jolZRHVmqn3qhHPh6dEu9Psw7JbvEt6am9Tptjtuk
vqmTsFdFbJWq6eWpMdPM6CD1HJTHKtS9N8YsV3oMTlMU517Yg6xCZGnNddcfJEl3zRNxxCp9rEd8
nOku3BVBdcwm/lHkze5498aGn60RfTAovbCG5NIZ83lWhLGy7cbrbXRuypQrgnPm6xxlKq3bMyfI
FqNuGy8pUuESal3kNI9cEAUy1Q0wFoQz6WEjOgV1v5vAEhCDLNAJKD2I29KoNkYGQkueeqLtBjVQ
eVHUkix00V4Erbwu4uCEw3LNebV+WOD514EVDIpkHTx1qT8UgxlVuX5dQhkvWZBZ85IU+1HvHLMk
Ox+p3C1IB8yYN6DgcOJPJPqchvZtRtCyLVHoctJbh6ZJz2SSaTfIHFWMtD+OenNeS7uZ46pvPJky
e78c09MmsC8Lal/1jMQu5T33bDTEbs6nkwwiqMIdNUswg0bleXyShAkFhYUMqkJd6bMQAiqz4mU/
snh/HGgFGg+kC6HYw5iuQmldxzFoNEKjCyt13DHPPslU74JmtXAG+2wourNXyd3nt8VaxW/+G6Tu
97SOQ/L8fS74bEOotZD5OOiBCwroLV3vTQTNOY6835T+gQvCOtL7PQo3DHBduIYWVdBB5d329bCE
cZObQ02T2nAWtkh/WOn2AwwQ+vO2cnPYHh8q5BSWaMEe0bBJJnzSUwZo5USLeooiP+7AQZTNtFty
fhP0JcQu05l923LAP+ejR9lUgzDGEehJIyR8GIzFYfEywgHQgATVqgoa20OgKSqmbQbmFHzotXjf
6zFRU5QdSs0/N7W9aGHxu9uEqPUcOeY+TzHcM56Ya6DjWhVOWRzbZRmqcsgXqJyQ31aJVyZ5kqvK
Kq4yXEBGW+tyr6utAyziYL8Y7HaRSIhNZoKgZWXjoEptx7EqHQ0+t+vOhEHLspfxTRaQWvVlXvjc
sNarpvFTM3YHbYes3bTojpghi37oDpsxKnazgnEPTQ1oyIVUdi0D8NQwjwTzs6ZCIEY45qQC2dOr
0rhSIuv2bcOkp1uD5yB7ZHs2KkGnjCYGtpsewHdV+E2JB2WLNFDcxonKxvhTV9TtYdEj7NFqWAXA
DmsNOupUiI9BOmQqS8b3ApeJB81drsW61CdFni6jmncnFMVsL0IsU6hvkEuAeaqhmo4sDrpmVvc9
Vy2GPTqrCpJoe6KdB2T2op+cwwh0XL+LQ9AOEyv3mbT8Me+1ilMLe1roWxo10rUGeaxJNSo+Dsyv
rPjcbsfMz+B3VHxNgfU5uhmBmoyHQwWvUNDzzDesMTMUJMeah52fZaHxMmD3SsTjp5HaczRRpjSy
E5UO+WXPJAi6qIdXSAwnxYhAaAeC3gl9HNVCAh+qqarrOnRxDfIuMc0yMOM80NNyKpvE6xLLeMAg
iTtYEPLDqhpdGejWHaZ236lyeBm4jA8r3h0mMSlBEKeDN4kIZs3Ko9Kk5ihDyVEs0Rx1xCgZtcFM
4jaa27Eg8yKVH0aq5zJDJUhW7YVuIBvJoooovA7b0RCd9CHowlltVlNSXlW9PBRTg1U1BUDUcAw1
ip4UKrXg1RtrcZDrcLjiNVI6K3edMGezCmVX49inSth9N7PqBCtSlJdmGPtZbiCXKURwCb9dAkWC
KHQneG1iGmm3B1VG4hRiI7xlJR1BL2j2cgLGY7HoJB7SGQ3M5YjrRZzo/WCoPw9O2qkIzn4Iqu49
CyG5GJLsDDYBOupL51yETquCPPanAmOflLaHdRKfkyG39uwYu2MAolUD1QmP0+xDNYglENvjYkqx
ElTvFzxVUYTO4nEIVFEYP6DjkmpzkUOpEXSf0s97kn4MWeUOFSjrKR4aV8ZltttaWek2rQWRfwSh
y2nOOgxhLDX9bT7iQoESdmngY1Gb0Dn8xM9hkfSJ63TJPB2jXVJOH6O0+JCz6GMlzFrGDwIvs9gJ
vAKlKuoEiIshmZKZuY2ZPLVkbuZB06R+ynE0DxHo/1mBbuqeLmJtgTsc2VE0GOFlo56O6truVQ4s
xYW773XGRsqyQAHXQwjmggeuRN4ubMeyVBnXk9vzpPC6GNynAcWxajJ9GDvRNKvqpna1TPbQMPgI
ahG8ogdDTRuFbLMwfIpVHsSeiHXmBqkBpl91B9B2NhdWfFREYQkvGw1VUDdeGml/HKbztIwPZc68
EZm9Ju6vwXODRCr9Ie8XZVRFkPWFkZKxhLJKu1eNI3eR3fqypsNuW7d6PiIo7UAlcrhyRJkt41Aw
186beT5ZpVeFeNllA1Kg4M1Dpz+zqK4Vje3+rBTjAhzboU2qo8kZr6eRHqatBrmUJyqSBN7ljhKV
RM2tXYpa4UDfjml2CKoY6AGiPByjkqu4sKA0lB/zSXsBp51bVk6hgnH8bDIGTNogqsBPaa8y/aVd
A7PHkZtgAa7ZdlQSBOUuL7mlUjNk78OmO7JNN88beSqs7rOTk49hVN/ENMvcInQuJVReZMT2nDb7
zIV10VpJPmul3HfG7ERn9ScRmxJehDzaqxFkHN3UWT4U4Ro3SMZ4hrQ2Xgk6u++EDO1aOPpcjOCb
dGJlfo0mpLJpOAPv4sL7ha+gjlosbWxmpZPLfYHMYRyVBw3NMCgA6KBh5HOc98I3KTriY3Het+M5
8PBc5UKsxMTRvuGBtYtjdgkOmsG7jy85bg6TEJ1LYc0TsMpdg5zrjASZSobKdxIyB4d+qaco8bOY
nUW4XZAw4OBxQSKsxswVTZarAXX7xr5iVbAHVh+peLIhMeTArVExHA4MvoSg1xdB3lGVJHwFHOIM
U3SUWsV7KCnNQSDy7b7ei7N2PwmBu6P0ukJQRnSGHvJd4TdRnaupRB8NeGjVOAOoP0a6CI25a9Js
vzLhwWBP+dyQctmVkFckdv6xbODVyOPKLEUWLTMNQnkeBi5vqjnrIHWN6jJ2yTg17qC7j0Mjz7VO
/WK0563sTrOYaleIvvaSvEn2KsYPyrLALs6zeW9ypEB6+Wgb8CrJWNFdHfe34GvAfuu4cpuu+2RG
CtGumHVJhBTn1hn0xZ+OQXtkMGioyBml6zCo8Mb7nCcuKt6nw6D62po5DU1dJIajKerYnKUQeE3U
f7KaIYTiA9AIrOcYZchr4OFU34UOpPAFlAsTpto+69287APfnlCqYgteiGiK3keVM7lh29gKcqpk
lmXa9kJdQjYhyuXEJuLaErW7rU5uLCn8tqyQT1iZL2uefx6sdhlCrzcEaOwbO7+sw+B9XJFGBSk2
Hiwk7hQzIG84wIO6tr9kY3lAi7WrLJLSS0rnIOr0J+A7k5e2ReTm62woMmRm1/0n3sv9Ag3nHZQi
FMNlflLWEnSOsGo9u8jKPYSD3i1ob/ZiCYUca+D6RIcJn9VWqUEBSStPjyD/pZGAam0RpIoaOvms
yZdBl6E/IU4fbH58bjvbeFon/E7F8b+ulnj99LfrNq1Pd7kF+90a4qaL5okwvR7wJA8hUC7E0DTH
oMz3VZJGO9KB5VTrXxeBRue7xW+bhETsIAGdGtCGdd+H9aT7w96Be0ATrQ2N7PeNIT+QkMCmSdua
NIMN6UBEoQKacylMZUuTRklsRmhDcbyOTfMob8tFbaWxakg6+BY14QJoY7iwEEieWbk/yZORph40
C7ipmON6dAOzV7d7wViemiCAUGn7dp5Us7wRFvCFTomiISpucqGaXKtEdpEKp9bxcWsRt02r1sXy
/3N0Xstx41AQ/SJUMYHhlXGiNMqSX1CSZTGAABhBgF+/rX1R7XpXtjxD4vbtPs0h4clpnsUgbn3f
u68i9O4D+DrQXe/7LL080H5d8nXr0na9WFI0FJs1W535bFf/rW93J+vr5jAPEL5kTUdLk6qX8tY0
cWp7fzmPnX+NOHlyTfjWe+AO9BSDE+HUvVpnu2h8mlIeJOwckhGzornKGhs8fEnXqKDE7H6PQjKX
1Hpw25y1WKY4m32ZC5V8yVZ97uJz7/zvOljKAB/350+wCPy2XIh+CafhGGy2Bfzh02wjvHTq/qEN
/LswlPDA+n/C/TC932VDsmvcojSzCrve3LPPuhnO4fDVQOavhN1Byj0oSB6/2Y8wO/J5eIuipvSc
GeGBl/MoLsfAr+Rk8ti1VbiYzN/JVQWqqFuc9JvwL7OL9WZC2gbwJg9UfXAFq5LwhYyRKUYbw7nl
XS7msOpoCOWjv+a67LnItnDCPB4VtrulShzxOsrltbvEnfOvjdTt90WeAL9gxfxaEpovjT2tyDul
a85aegW3SMWiJiV++KWd5jBG/aHbzpEOrkFLkB/CvGtM9NaT5AgCuVpac9C+ny2Bd5wi/0F30e9a
5+dxwDIloorgqgvSncUH1mKj8sPdO/X4n+J14UUsl2xx9WW0MP2inT7yt0S+jC7PdySCTXfrozqr
Y3GuccprD79RH5Jjy+UxESJtpKlU8F53AYCRbbeFtmHWQWWRVn720V5GDTV5Z5PnsJ+88+CTUnhR
nLeL/tW+7lkHwYvW7WlHxD7cCe6l67z8BRuQR5HFRvLJHefIjf6eXmpVn5fZPA9Ol6sxhqPUqJwM
kqTad+Yy3Lt76qw/jKgi4DAZFVOpFypTLDM2p6lvK7+JH9hC+zSonTZr6p3nsoET3zv8vTGGZ5Mb
/JmpSwui4VnWu3PRZmwqQIhO1tJ2yEQcDeWiJFIVL5VbpQeZGQQbCJucdci2Seca1MCqP336R7Jc
s6923iol+u6om6i9c6i4CMRrxy1ROhWrtg9yTKajIxdY9+vY56xnv+GRKBEWXJ0ZYFQPYCmf3XW6
i/r2Bet08Iy1NXha1d0Srcs5afTDQljqTFOmEWBvTja4j0nRG543I76f/9ndC7iyc0P42axY8Rv+
vK6Qr7r5q9Vj41wXCA0JDUYTfuZBeAigxWOW7XKHo2Be6hm2ZcNTG7WIUn5GeC0OJEEIhqdZbRHq
FwpxSLs93dz+MpMhmzbvbsF7D0g63WVWe++bmxTWA7xQLLWtROQ8aW3yHgKL0k/mTOXae5nH/0qp
jvG4p8OKVMdTBQtYHsciJQ4ORwE0KGQ3PV/DATiFaqsY8Ti859RMJFvFkzuCQsKOoKMp76OumL0H
I9/DbcAV8MdHCIKUPNoBGOjnZT8PnGVQjrCmIf6d2y4f5oeZjZXTN1iQYkiIF0J17oVgMO5Q2ij1
7/rjkipqnEq4WBC2CXLiPvGbjCCi8OePxri41+wD3qasXWC/4Odra3+ppH/YsS62w0PjxDcFYG93
s6YVcD5+84tazDgK5JsczbMKnYxGpjScl9Pi56SeysElGfXa1Ce2y5ckeLVdXzoyPpmuhzLN254V
rLavwj3oESZC+DMH+kRAGuzzDDN+OJoFyyN04SzfsXYWdnprwyvkbNrhP5hSkq6cQGvZtr+L47Yw
cVtttn6tt/bGTXLs52L1Ty3/O2IviOpi72glKM2EJWAl3BTaMpvbJNPTnGEuZm08ptEMBW68tJZ9
tqhjv5wQgRS/cM0o3ra4fVosvDqvz3ev/hDrpxixpQvvGIaiTmMX0lYj5AguIMrGWlW61ZCbUeG4
WJ5+RiyMu/2Zl+7vyLvUmrDaoObc6HkC9LIYAIqJ9zBpNzWwQLTnZnjjU8pVivNkhsTkEUQuTpNA
/Oz+jglAQabZEV4OkqV5vjbdmsdOdxxn9dBtJDdNXtsQl1VFF6vS3Ut+Otp//P9ryZ6BmrTl2o23
ULtlcDftLRS8Q5bUsWzIRgafRQRxl43+6JVIEDJvM3ilmle9+yDVpoOdepxBPD4sIBidmj/RnlVE
8LsN9osJ/zD3g7n3RmypJ7+WBVIVM3iH+bn4YHnWr7l9lQsCx61OqYeTFM4Azo7UWwf56/Ck47Kk
W5Sp7knLNU84vUzeowi3XPSvYfeOO6gIZ8Q5y351hrI1R5c1x3qzcOnUF2+GisqlFAnc0QjBWfvK
FnFRLUDH1kvNJisbs4umH5EwmXDw0mIfd1YEvoXUiLkned+CmdzdBjxMmxIRYs71/GAjcZqMfxo8
RF/gXhk/7P5crctQinC5d2yQw98r4vA8k29EFCAiMbLoP4kjT7W0jGe/NNMCKWHfxSJhAk9pgJ0g
wT3tglcdEJ0IgzRiypUzHjDeq7VTlTXDoZ/DEmsFJBtiQzUchadhhOJtcyb+xfxKj/qDLkku92jM
lJkPtU4elXFBxmIGCQzGXWfwmy+dAj8gkp86sAfGnjrZ5Io6eSi8xyvZELQMQfg0s+SzsdtzKLuv
bcUF3rhjCX42a/CZAVfBk2qLyJgF8qmPcaEijDI4OgVHgu38gY6BkGRd3WRmXnAM6PUGn00XSuGI
3oI1iwj9tRLqUzRqnsrvvTPffRLUJdX0ZayDG0vG3OAKiB17EDswTsLoqdfmssoQ7o6rH+t2z9y5
aiyM8rq+9NHUFv0Qv5OhA8oah4cJiEBt6rzdCC6K9mmN5ZgCLP3u9Vxnyfqr5mKKpPbF68Z7qMdD
Le1j5DSXoE+ejOtm2mzZlGwlb7vzitNx13ejc1587wem9PcidRHNW7ZO9jRt5HuCr7QPHNbLjPNj
xHGwntVgQCfF78G2QeIgdz8tsHqGsAgbJVPNVDV3f2nn54nsy8jCCo3Ht5B/r9o/+IigF2Yybyap
jSnUMn6D1RQrrTPVnwMLq3qdM90o/PXgn4p7Y79IO6S2eegt0DQ5nNegvwzalCsZ7vFAwAbULkY5
7FRkxhofnZjHgn6w5Ecl6jL002HjbbEAfoYLJuycdw2uDYCCtZzOZH9tG5j6+KU9xJE1DAcc0rgL
5l8bKk34nkbMvwKKzgT+AjHPjDdUI5iqUT15iX9QxLxG0IcsYmDD4bTFaQRfwWzdtfHDbH0dmzjT
yXfbq6rbtnS222EfnVPtAJgJ4asPuGyevZgfzNgfmWtLwLyHHm+jiEVmtcYk7p9DnBsW11xLP5WE
c6OOe4DT1QUzAu2dyr7P+W7OInrq1SGKn3fkEBa+WuLJDLZDRm0Am/k3OVDPLaJAfGPZq/AhxO2f
smAqt8hmwxpkg7PkYzC8b5TkrP6L2/REAKvPe5etG1wtyPjGXx6SFfqBBUfpDvQ4iuHec1YwGx7/
xzc/72LzKHya1huGCWxsOJhQMdSa3O9InRECRG2dI/6wtqBw2pC3vwgEtAW6s6ewJ+96QPQOPLPA
gL+N1n/qwiFnjK4pcQ0uxf4lhuPDZkiRv0vQw1m7rzmieQ3pFXplAG8oSQhIO2D17NVfIUWhrVXz
HZod0Pn6K3ISM+LEBtSP1w5HZ2b9Bxog1d28rCHfkr8s0ZK6QwN6pCt33hyd+Bjg4uWYXnisYZM6
9eeyRFAagOCtC/f44I2P3JwW7Rf4mPCMDYDbA3ulwaVbYdnLc6Liu3C8jQ4/Emshuoas3dXjBo+D
RCzjC6QLP5otSbmzXnG1F0riToloNocUUbyXJ3bL2A58ymJnA4Jq2MtodLmDDucdyHysuJ5bZ80u
76N5zVqA5nu7XMUVbCOGJQYL5hBrD05Yn43ztoS/4vew7csnt306s/XYWvNYU/dCh5+6g9PHThpq
Q2GoLTgstPzpP3fcmy3+gnv3bFh98GlTNZ1IByXyScZ388CudQLsHSunp2HjLwc3xu3U0fNcq8wN
SSYhUsR+imCo995rG7YHHr25WJZ69iWQoy1cH1xFX4ADnbDU5J4C7sDLVvV3jayLSD66wDEQtMSj
ygb/7yTBCSSf0j1bFlcibXvo/nIvuf+MUvatEy5y/6PTcuybt1W/DtBglF44KgnthCCCvuu6KfYQ
E7tDHrngVWUiW4MYtmCXijCLgeOb5VlDNjvdnNY4KmbyRG2fbRv24MErXcszDcurn5PU6d/2kWMo
x7nbY6SaD0J6rKf3Fu9PF9XlDtc+YEm5oPuh5g3bUl1Oja4GR1SIgISTfGlw9l0f5VbuBZeHDvLK
s9eB11mI7oWds8BH7ecr5OCe3G/0tEoieebPh3afqqhtj0jryj3qC5rU18nbsniBXase220992FB
1XraaZLGHnj9fYFpu2fh/hlBwntoh8xGVCEEViTFoWkNlOSQLQu2nnm+hAmEIY4de4nlI20JEBeZ
hoiVguQ2TVE+ev6dSyGqSX+XNMnHCnTDMI6RDFMPssOCKIHne+fZqfzlYVe1Hvd1Lf3+1Qt+pn6/
WhGkPp+qofHzNlAQW+jcrBtDpIXYaFHd0Uum+041spxGlvuafNGufejJUBmGU3IjNGc0AOxBCCta
ET9ZYIEglSoz6reI4iwY8Qr2CKSGbh+zbdgepqjecq9LvHxbyL1ddek4418RvbTyt3ASJ4VyBfgK
do7JCH3ovLDe5iGlFTj0wqzixPyfaVMphGk5R+tDlyy3CYIz6WIwybwikz1spt+zGVRceAG2g8EJ
+x+HXxDPVd1iv9sSjBZyGMP11zZ4sJg+0xZUC4f+tvIBfllq/87LcYfv4mO7mhGddgp5Hk5n5f6N
6Yop1Z98C3Eoh2ONVyhNzMeGs9Wr41xhR0jo2UWStO9//T4udipOYFgwOz8Nrg0Hr9sgzwvW+pqZ
fEA6Ovn+nUPEG86EdLJHr4n/KTVXWzDmNIF71WlUUASaP8CdZnFuagTMy5qRgReLhxTM20+2b+6Y
fQ+16hCagM6X7+jqYOcZwBRsqQ66so5oUfv2eRfxsfGnIgB7E9PnPl4r8Knptn0kAQKib+t0FbP8
MFP6MK8cWUVXUtBA0st0rTGAQHFt4y2CG1RLnoMGuLZk/UR3GP6336baLsUGYCm6R5PH2woFwKzd
Pjdsr5P7GLvgEMlCD3wAHrA4oty2pEesC5aqlgUj249UqCn0yxjm0gl1RgFm2sB1ztcWB9yPXoqa
OMfncHzpom/HjoXaIDsnD68KCVnRKyyujbeLY5O4CHeJBevOL008/vODf36H/DTglwirtkG1R4Es
a2uG7QF7f7jvUCPRLbQTqmM1/rTtT6vIK1JoTAYw3bi9EQhnk+Nj46/WDYj4fDIj3KxxKMPtOGhk
8H3hmAGi2FZkdU47gUcZ6p+m7qG3g+PqndTkoNIFDQYzdBO3dgyeRh+dgeBpl4Daw++O02qiB3wE
V0Vi4OgBLWL9EQZjSniHqfuAh/48hrgPTIAhP5i8rgOd2hAgopT4OfqUhs4z84ayryFp+yT+Y8c6
T9gJ8XoWROq0dPs31vXU7BJlsuQZjY8R7ELk5eF6IePbgLHPCPK7+QKKxCNNiRX7/0npjN0bWk1V
G2DhdPoDlT4mMBQE/fLatUt7W0bIdQyKc3MEleiorJ33cg1+jL6GJAIvugFu8N0K2v7OTL+GLFa0
aH9n2J41ZL7riVzO6oh1KFXzo9dbsCyFxm+Eq+G2DEBOVWM+Ez6+1EQDR2jxZ8Ukepn49Op38+fE
t3/jtKT+hM1s7zM42L6MMyr+eKjeAZ6rRe6x+hc+KPF8UPAThxH3CpthZSBHBGh72qg9y1WnHoQH
bNhsoNObHJIrYpozvv3sdPx1w8roeAfPJIcwudhuuUQWFvVyNYJW1vUgaJGaTgoURPsQMACT7ZlC
AzfLGy9QvICcHiOaMtFfp+012LJg/kY+faenZwEajmKnFQHkcrRn3ARPYrt6WLb8hp29dtQoto1D
FnoaSACdMmAJB6/WzSF2+cvsoAAiKOANcfY43nE8YzWV9CuxyZn0SZ6M6lmb/nuA40M89STR0Qva
upivY/d33erKhXuWNFHpKthIcADksZmdQusIDMaMsCzJV8+eAwo6ELNxtiveNAjY0McuO2Rd9xDw
19kBcKGb3BtfVRMdmByfDbpBjvkr6J/ZU3dD/4GX47yElZWvNHjhFHdqF8B4+BQohVjgvmsXpl4z
prODbK3R15rCtE7MEVsy29anjeOcUEGcb3HW8zFMey8pux3wB7qeNPnThQ8CmXA8/UW+WnV7jyN8
qSJ3/EcRAQf9yTJz2DyahnNSzlOMrLjNXLxFXvI4T2vRku3F1xXIztzp63yBOOEUGHwIaAGbVTuA
z/xT89cdO0dD/yTIMnXsPjCis7n7JxEodP1e9hQRd41EJG6eksH5brf2GC7rdFyTyRTSpchLwXhZ
wdNpjqrZBaaz8temNyc7eFdo9NvsTSB16mgDP4vb3h/C0ywxezdvJ2Xfg5NlPl4qFxx1KXnsnayH
RMP1r11M7sY6fm52pBBYxHH3ieB+Ai2yEnlVel5/aZLospJ6OHZh8uZ2i7prO5wMrXwXUfu6rPuG
80WCvCyNbRsYGfZza9p0n+QJQ9M+zICyMxATbxGi3WKPOsjRxD+KPgI0ZE3le1DNolkQhOIPiMf/
5SQKRzimMFBvROFEXpuytcetmU/9pFI5tZVs19/vLpxJFTLErDG1rpBbVXVsT4GKUuHUJwHHiUg3
nyMfC2j0BrcVbZswFctWmpUBob3xqHu3HjkCK0OlQvawK6b9bRAkMw1pzv9/gZvK0r5zLh1LHlrf
gVrwLnSa+AHN2zwJ24pAjNbglV22Xz0G4lg35ej/3TDxEdMAvp6Gam06WvqOd5+EwzP6t+10GqIR
1LSMv0LUs+RgQMizPvMtyGKNO5+fByHfp5b85YsthhraBw6uB0u0JogwRCMwvTvzYkyM0uoKIlBD
AlpPgpIdAFzBdFrmwxrTEqWvEXS8PNJxhSLFYPWbfDanacWYm7pzE+IIGkw2s+2CF/5igc637btE
4pZ0NGvUiEacV7RAwEeYzx6ultFZK45zCPR0Pq2l6Rsnp4Ri+ekVxKrFDQGL5zpFbXck8UpTb8yD
Acsyqr31wZoGOI5EDZvqB3ckoIS7BWY35hdpGENFFwijsyQXFjj9eY22+4VM+4G5C+q9/Cqs6z7b
37vYhPIAu58C+7j2QTw9822GlcThCrsawRsHFkjq/bhpAo/aJLC4QoY7o9/CAxE+inyzKj0RHpSF
YbhH+AHaxmnK+mIoMwXlq6lQehGdDR93lEFGHv31XYRjBgnTHT8uIwtOMZMXa0rqolxs+lyMI7tX
O/sw8zSDKcI0HyPs7lNw/v+Lo3C7kxFLn9Mvj07rJOdwFy8Bf6mHqH9youOo9iGnNX1AP7yr3CRH
8wQ1bK0PTax/UM2OUbFcj8Lt/XxeI3qNxyAdtnU7LATvz5jAMQppj0GZ6Om0z4kHcBxRhUWwoUd+
2rRlBWCOAoAcO3E1oJoWiSWrF9+e+AIAPd5w2ntNXUmGKRDhtciCAC8hx9VuouGFNtF4TPR4QTmf
XfDwNNy9UVARM9IKP9rruqyo9XVo+6EOCwjbvSSEgfcUErd1j60WVRcaQ4Bv4R4XNZ9GlDF3eAe/
NKodtUh3zbuzEigYRODkEv8H9ROvQJWiTdkQwnU06jNCutkJOeR6R+U99rd7Kpb4xHrSHhfW/U0S
XJDrjBdC/dbTLS77czwE7yIJ5CX5NaF6CL5lQ38c69kOE/Nah9BKHGpT6XW/7YqoYwPznMUgHqPN
ee0V4PbJ9ZzcRIimZYDrWjfeQUUN3jkvqZIBqV60odse/t6lU7GFwXoaOknT3o8UHOckqZa1vRKQ
uJ3c9/PN31lz14m96n7jrrZuv0KT+CUb/W/tfeKtSF55bH5DaS+LazxkIKi/+5okTygsbIuA/BZT
KVn/DqDrGlFMAD68xpoEFZpNH612V6B74Zx7AX4g3ukFLyd+0LH1b+2EczboAn7gMZLL1ci24tcG
q6eAiZF00Wsr0JUhy1lHyLnwQTu6Sub+dVX4PuaQLZtjkG4zn86mU/shYC7wnuZbzeIJSj/JcC6b
tI7YrU6aTxBZeNaBGXYIMhhzI67CMWAWi3Rz30sEZ0nj3RKxbxk1gAOMal60v6IYu9IrkhZ2WxIP
536H6q2/QgA0OwK3uhY7xKS8MaD2ZZKMn20Ur39mEE7Db/kW3NRwWDzy7kcLgSMNSRl6/GK6FVUN
XnqrhnSfG9x1e/jEY3rrG2BMm0QjuPbWIxCwOY1qhO+TaBh6B6Eo6IonXxDUE5H72B/m7mWAK//Y
D3vuWJwszer/BIjIoUS3W+0TdNxmtERHtWCdgR3x/xe/icBOmxEebnDbXBOcl1+vc23lX1LPP0CX
Gv/Jzoim2oad0BeFLAWYCCXnNwarOzutmNtwJxYP4MSy4/QyIp+V/7AReFWsh31rxuWqw3xdu7jA
U0WAcAp56+J4ztouUheB9NVlUYbjEGvsCuCWLHXWqZocCZ9mcMJRwUJJCsC/xe/TDLjp2rMvCJDu
kR1IqP7Nu4lgysnxMV4J/MeRnHanxrXWMFI64QDWkC+v/sRGeEb8NDk97rN1PBNkrTyOsJRRteXh
Art2WPGgDWDnMqCYt62oq7irIVTWPkskesIk7CpF9he0t+59xRLMEzC+gjhnPZ37X1QQZ1tdbMYW
cLzESa/joZvUB3PolrO4/kKyBM2x42IQoqhtEJXgRD7FMLKSxeONNa4onLVBoLZPQ1ZTBbmERdrz
4aH3PF6xAfonH5BObnaelJgh/0OqUyaGOANrhxd6AEA+zRtFV56K3K/bd7IMueBkOk5T/GZgNaXc
i9VhxSQTbGX3LigVDzZEzpfoCQ+xeKwDAWtu2I41qMg98iX2Bw4kYwvDMlG+gyTEm8p+Ala+Gt5k
E6J0NDxRTV7au5gvR6exI6DNGRXpKf69d333OfRZMbHNA9T229EPoidC5D+i+fqoImoRLnG8JKr2
8LqgRi5iIp+8lrmPFAtMNi6IBzZvDQ+j8qpEUnoexuSIV5BUlgmwM4m+a+L5hXTxcpCTsMBxqX/o
E08cDE5b4DqCnqI9JMUsmz4TMkoeOl0XI4WHDsvBfZ7w/E3sgfx+9JygIPNO3yUtO8XMh5fM9CB8
kDp6UH+ZZvXH3ok/RH1HWjVXu4/2uR/7JeMr3kHe0tdFT9Gzb3FmM90ArPn918EmBvvnuhQkaJ9a
4eOEER2kUTsPB+1SNAIN4rlhbt5xN03VZIe47JxQPrcjqyCKEaGh53YKOcdfHXhz6gJLvg0GXQyO
ZkdZ++54g0LO2whzVnlBe21M212pYDZnpNky1KtGeC8wNBLSuKf/v0S//9SGghzj5o5SFZ2cScIj
djVsQdb4pSucL+Gpxk83icxlRgRg4/Uu2NFB4gE7Yai0t6jzDga+86kWOAkmJFtFO7r03DW1PoPQ
4dAfkbzucT2ik4EvAq2KDF3I9sA6TNu1s+QunNvleWtY2QSJfd4C4DU0/PRJ1zyzIECwzUhUtIOv
0C6YaK5cDns+VO4JREKXBpaaaqPTfpZqvGmXRHcUsYlZSpT8vNMwwRawE1bHdu/5g9t41bhIwJHj
hK5adxpqrJqRx/MlRFuqXboGyEx/mFat7wJsd5U/8g+0EDNmPXFD8Qq4ltPI2z6YHzE0Q173KFCw
VsrXvVYqR3Uuwm1Bg2PdxGshvNLXO5y+CDysN5jpWY7Bx+YrLG4SDz5YMEZeadihXd0t7jFskFg7
Qj1OqCyckwXuUBzKx5hr+YhQNuvRVcmmwJkOHTXRc4y5VOJZArqQkYT5yLb+qNoQrX8vrtOuGXMQ
W2vZt5N/COHClmoY5sIPQ/c0+v3PHnTNuVsPrRPI+9kbd9Qx9mtrrC1R9x1PkGsPYtu80syYPoMz
IGpTurmLf7+E2v+zG88WDWKpeSLsfh9Gcu/+fuFGUeDYwUuH1SAzkFC3uXHMzetCeE9IkvCZ0Nvt
/1+PI4vlVdO9xJMxSDHMPEonGsHzcnjgZi0Hxao1FVdQa2e8F+YhDLV5oHG9nT0SvKK7mhS+gyHC
h2S5BtKs1wHPfzQp2NiqC2e09Yg9gNmFGzKo5OLwFU/7gHYp8JCp2c+6FdVODaFdTjv175LQ+vCI
mVeG0kFuv1jvdfLxEA01iYMcuujmW/IvQmCKqdV799SAcdVTBztPqz8WFvS4TtgNO3tpTLJc3BGd
5wWuJ0I2oQ4O33s8QmJe79wW/0H39RsShrncPEs+Fmyz3T7fDQGk7LbNoNimGck9+ICR1WsxoOt4
MnNXP68TBUSESgSFer2ie5TgYVgoHfSWdjnxQeXEs3d0B8jscB0Y4Dv/fTHrfK9i+Fy1wPM5TC23
i6TINAa/Fk0OADJCL3rc71CYP6z4WLW0RXPgHg/+81BuXtp7f2VggKM5b3axfza7KnBwsze0YsHj
cDCHuH+/8EQfyLRN3XMWbq/RjjGCCXTo/AT9U0Gjm02W6JYwGNV1R2DwdRS5NUi959pH79Dr0Uxw
ASS7wX7GB/nFz7ILDtzLQb05VzovUGUAxLJw1th91/+4O7fl1pEr234RHLgj8Xh4p0iKum9JL4it
LQl3IAEkkAC+vgfc1XaV7e7oOhEnTnQ/2A/loiyRROZac805VkExUbsTgt4Y03SLRuBFG/Jdkvmg
RWzV3E2Dbo5GNOBpSiyGQwhAN45u5SuJy7UgUduDNrjMZTrdBTkqBj9S70cxOZcyHfdd18U3qdla
+9Zp35OILKnBhG6bBy0Cd5iVz1EatPeU5E9xasiTwre2w7dOAr9qi/2Ih2wVgQw4TFF0TTUlaYFm
MjZVuvWdrDzoanzM7eg+Fi2Ur14w53Vz9zVN7X1WocFPHjgYVxZIPXbUMhAdPoOmCF7jUF+6yL/C
tfJWycCMIx7T/EAwyFrHuZfuiiajcdz69jxdBOG3HG//LlHiqy3ch9JTsGrmYvGbD5uSK31FVu5O
h/OPUtK6+nEgIWhFYuMYZbtpR+Y2CgfFSnEv7hI9vZojOQBeuGpr8yrT1L0SW/xhR/XPKjLf0n56
4Q1K1xn8LuR45zyBaljFNaOxutC3FbSZZ79UmyTU7vs04D1H8woIp6CWx2Uf3kOU286OEWz6Whor
t5P8/ZY82mI+U48kO0JgjLaH4c2u+/mmXfAzbeE9JcHQrY1SW4zK/EvG72hkM/HopPL2hREzeLXO
guTChpgRXrJOA17IES9KTgOzj6DqaNoPWbnzWrUmvjbbBA7nFcW+WpxfeZLQK/Su3nVOXZ7dIVR7
ST3rMkKLYoP5ipds6N3btcwB2Yy51HsAecep1LedGDT/WOTHnMhWqLz7JP6JlfalC6boIHtxnkwy
t2FPpj7h5mxjE3eL6VCgntos626yHI9OP47J3Wg/1nFdHlyN8SBQwQULkl5Nc62OUpQ4dPvU2Y7O
Og8RER3qcbx4BOWQyuMQlRBwhyg5K4iOBbSnazPInd1k2/GpYx6/LUwU7nIYnHMuaR4HUWkqtNZZ
2xGar9c0J6fO5o00cOpU0VFgMbtgGn5Ims5CzaRZ76tCb7METAShocUK4rQcLIwMRPLUtlF9GbEL
MD8qva1tkjU0k97E84KHUwZOvvIKvs6TlV7LKc6uvbhVDR+AizS8GnsQAtpY+HHhDDWIeaVXINd4
7nQrZyG24xyQafN2Hr/wObV+TrVT3ebS+NmbfrdTU0AETgft1pknsSMr9THCkLop1XQswnEvCwRg
VZ1JMgz0dz7KhQkTqTar8hjGw40z3A9jOTHgdv2N1RzrUf6cfVygYnyvF9tM3lhfdmZ7+I7QMLMM
D6RKlc2/eDXzQp6MiCmCcIpybTMTOwcNdKsiU9nWKMb2JhzbszmEVxJnX8o05DaaGOQrBEsgFLeQ
Qmx8oFyM2OM8UCeMmBK0Dx8hZ6XcHrUoEc9gkuQ68rFbDUgiuQKiItTobEVq8aZZk/GI9LTKwimA
eOUWeARIsIJF6E7oZwofMGquNiwIAhblN8qIG6RM1mbLWJUVpKuuoh6lZ7/turlh2uNvIjO0djNt
9MEYHX/X+N1zO07fTd+PZ0JV49lY/iu0jZ2UfgQIgWxkTnm/A4EYbxPXydfC8g/EUppN6TtPg1Of
KZfbvTvRz2hYU1vVN/btbNnzpctf3bDcpm6U7UYzf2BmMGKVmaZrqxU6Qda5e+Araps5gbOuEemy
ygYHJU9RHHWH0e3J/WZdu5Hu9O0WRnA/e424N2rt7Sw94teBx9R3aXzUQZqsmHG5W6swxR4h41jm
2joG0lyPiJs3zlNMtOvsFf22dvs3aB5bHKHWKpNfHOTVrhEk8Etv/JkJRuuZdD49/xmyIsMo0c/X
WRwz9Zro3mdaIcoFqbG129TaFpPCljmkOfZISINOX2FLpD0eTWwVEFFQxLnCG9ndcpyvsP6Ox4kZ
eu5Tn8zRLwGO8SgtwFiWla/n0jLXpt10yPr02zKClOX+MD1ME/bAJK2H7KKIG7hIeKmPfbxvbktI
C+s5H5dwLYYoA5mj9Vw6Kw19KnOsaY0Gib7RRh1WDm831vgN04wj0GjKk3a7Bh+RBQKyyiL0TRoc
q2gQdjuCR41du1gFslvOLr1JS8bdkXEORWPdWKX/aFej2Cup+GwLsQt1QjbDIX3YlN0j489oC8zA
WHkx7Z+T1mclInAhJlDPij9E4MHyqSMNoqZri5z3nfrVuzv0dPtSYHdBtF0Dhh/3hjGPx8avXwSS
0l7bODSdxmEehS/DVsslTeFezTgp6whGkCq88VzZ5fOg3Ac7S9XV1cPJGeMLZ/+73c0fqTmnx4i6
biyyc7ekE6wOMTdfZtx5bVg8MGve1R0hynTnVp8cs8YWIkgKssSXB5r6c42ocDNQsGB7ZuhmOzNy
0obMQIt9e8CQiCMaL052wqxdHib0pa4FmcczMGym1F+ZovpssffNYQv0DiuLm3K9WwMxb9Xve+kP
R6+IHwrdcnlZJfp/16XbkEoxotVZWXBcTkla72OwpXMyfgfDW9VbdMZZqS5h/BXXEfJiO1HpkYIL
Zzvf6YIQQooAsg6pP5cmc+Ijw9cPTeU0hbDVOnGflEVKJZ08t31Ebyt5XJeXcUSaXQ3kcsiZjznR
V2qX3gbCKbe7hTMn20nth1sC4eNGRd2njhMcG7ZVrgLXMNfYe419Vx7TrN8L2CQ3gzW3ZJKNbFOp
2trqgFljwtxpPbnzRNHXXFpqqlNGnnFW7jYiy7B2s6cmhasXBnG4cuidN53Phz9OwYxTJQt2uhue
rIZfMA4mQt+zfG8ViQecKAANwvFBMDPbaNnmZFr6epPN8ddA0qFAELlxwQDavosZIZTtpWsfteAL
j6id7Mreu4KbKrbaxBvk0w+uEx//hVDPUYQrleJrWJlDvc8bYvSl5toQn4MTdBxHhLun4ZfMjQ6i
D8YLJh303mlonc0ZZstopYup9EcDMe+vh4CoMpMOYOlnEYuTbCtFUu8W0iGemnSentJ6BnQkkJQx
X0D2szE95fjiO6nWDUcxmBTEvrKZto41/4gGn88YlYD+7c1IoImq+Kvz4/ZsGBbG50LojQsRFwbN
h7J8uUx5zMP0YNc2eCu/1oQFkXtFwXTRowGPmT0Feqhvej0wLO1qSsLEfDftUm1F7ZCvje4b1XgU
YnGPEMHHHQ6RwVyvJzEs1FkneXcQXvPTtGFaNdII13Y/8+RP9RP0EwPHv8MbNHTWbYBZz/V+4UN4
ScOifaud9OKWgfdFmPYYOo9hVnd3YxcFTwh3HwTz3XNMamDUxX1gxITS4/LGzqOeGaTOH5NG3/Wk
ADZBn8Bo6sbggCoWk9KpPorcfurHdLpXHjVQ9SzafHryo4X5xOx23WbeQ5C2sJh6kH/zWH+4VbUO
srsxs+aDF/Ppd8sEXSiN9ZFWcD27HoNhnks+EmQ7oF3WzvENE+XItw52W7zkkRQnyze8PVsok7Xd
zjgvLd6S/ycMl/9erPJ/HOnFh4Lyn5NeHtL45x/CmP9OCuQ1vwUs2SwCKtuGefo3eov++itfmyVo
sJ1Y6craCps9MrzmPxKWMFeXzYTCZYuBBQ4Q6nVX/42v7cFahxsjLJZxscbiTyQs2XzxD8iXha8d
uGQrfRDf/NgFCfM7vnY4DnFUJR71+sxsJ6+tvR/ARlLTLWi0nz194VtqKpjEUfjShZP3lHPdrSxP
nij7uL2vAwrpJsiiZ6nUqaACoRpqd7aRbQGDnCv5CgVWYfetuPCw6/LFn1apI06iTXdy3Kc+Uxva
NxihK2VBq8p7hFM/S7cTgcO8Mc/oa2gPpPKAjGya6rZyxbvSkwQ0HTwFPcNJZuQguFYlyXuQ3Ri8
VHnyo+4tjf6Kf92QQwRIoVdC4r8qsTRk5rDRNmJsdpH+BAYqeh6i/l5b2cbK+F0GeSUbu+nUPO70
PJf7jpAOVSY2C2I+3Lepfktx5gRSbI2af9Tj0s07DjYiGMl8NhMvWXlLGA6zYaWx0dZ7p7SfReF+
6SipAAVk90RQf9h+9RLYyOlK4q5pE/kYuRReYd7fCpPptCp/5GH3jSDCIZAhxg3OrRoJjNg6esrz
8VfNq9fOaL3K+WToR1E6O1M9SMY/5gjBB2goaAoyiz9TUKIYr3dhOW3xhlyyhTU6VVg0PfCjVaH4
u0gfkjO/tQGU9qKU2zFJ8mczQWzRVcfbHOJ/6zETiyXp1SfoNRQXHkWIvQojPrURG3a2aDEyrlZL
p7ByNS1fPmui9Noc8PLjmYkCZsODqagA0qp+qcrFChttB0c+gW25lhlhrMmHHFLvx9jddCj9FJzx
DnDRCz4gwOq53kEm2Ch3SfvE/cUeqoM9uz98G8dCNDClA5FzjxTxw6XJiqS8ZtreTG39RIO4KYH0
FeZ47PLh0yX3fu60HW5DFXnMtLKjkNavIZXWYtQjWmes+QJs2plEcUP8EWIHheZKNZ85htoqcsrt
yMxMD4ARIwC/x6zH2Dz6wGUm+UPkeFMaQhV5t2szzYgmFAci16dxRrownfGI8eqt8PYY0b+nqqUi
KxDKfTfht5waAhFqNTcCYuuPsNvNdrCTACR8DBiiGn6YRrCPIrTHimZ6Am5XMiCqM8QBAPMkEr0g
HvckpIYN2dTyNjeKFjxCyNDPdTBd2schcx7raL5NlbuZAnlgsH6hLnyBsnsCDsUsDdx9m3tHJhUg
oboMmztlsJEy57DWYfeWldHGstUlF2+lApkrX5gKvGGs5dfu32RbODedF5xb07Rvqk7zaZHo30QL
bTxYuOPmQiAH4vLWgSQnIx3isrmtjWafQS13oJcPC8a8TRRQIsjmSYyhmFzan7/d/ntX19O/ZJD/
/yMC/GHZzD9fQuK/xNWyY+qz7/71q367umzWeuD1CB3hBr7n29wNv11d1l+WyyyEosQVtmy2/vvV
5S8vMgMgt8LxQme5UP5+dZHX9LgMXcu2TH7sn7m6AucfaWXLJid2b/OjHG5R3+PP/f3VpeykcDsq
qY1TMwuOTZdnrWljHjL1WJretLf5TbfhZB5sM76fyuDSO8RSbEdnm6HQH4phGPyd4RAU0JKdXhFc
aw4M6kgf+2dtmczQUSeUG52mZAjQf8YU30h/aibrailQn+P4ODMN2SQXCt7vQY373MPXKqxh63pL
sMsQ9XHCh84j6uI2R47ZN4X7Mzb6HSDEiOo7nslCuqBNdImLxyNxkN5FbfChTfHe4RNbB4pIuze4
2P4l0frOJG8pGkBU8cIBaeAWZq15HJ1yb7hFti8Y5jt2AiMtZio32eFXbMj5UIaaSHq6T215mBqu
qTYxOn62896UhFPa8Vfqq4+MHrz2/TPrBMxjUS7clFmd89xZuki9cqrwu4yNvdVaR8MSj3mQQk1s
7+cw3VUeqpHHUoWRPB1oyA+03LvI9rZYVSASTHdRVN4YgX1jBvo+iIY7W/U/hd9Op7bqwSpWdy16
6bavAO8uB53VeIeu5zJG5jmVsk6QNDHRlV3sMxRIceRYHXQBVe9NVT8mto8VlqFkJS/483ZxPvJx
YNuNMKLUOR6ZRo7gCWRL0gEie1/ssIftVSA/Bx1f27Ag0TC5t0GuWDNBACP3TqVoqpVZ6n1r2x9p
Nl4nBZ3Rg57e1uTl5bQzhwo+FFkbKESFW70OUfE2JeWjXL5O8LFsp9l3bk/ilAyYdqz7OKgvDvgX
b0wfCuU9TbM81ETL+or6Ip29n2auNkHrTUdSd+s0yIe1ChHw6wp3TJAfU6f/zskEqHL62UjvudJY
rEFecpV6EPAKc8+9cLDreN7NzbgvLIIa7JuED46SHLbTe67xpy6XXO7+gsaAt9BqGkgyGSUfqVkc
8ISBvTpm5EKVN1lkrIzKGb48P932MsRrSQTD7kbydNLy926T4E9vHsu8MUiVha/GXEF68+aVEVo0
93Bf0ubQQKXEyg31RwGYEW59axdFsCZefzdO0X7gW7zJwvhN6QS3pItyaySEqLyT6xg3hZv8lPBz
gNqJH4krj1gj3iOMqsg12HvtaCaT0GXn2sbPgAyyn8LCXA8DDsQkTfjM6ofR0Pepqvj2UXOIzn+z
eSoWCl0j9MNIAGidjvk+m9p9qemVu2oc13NK6GUKrGPb9TtZMUz3+wljK2H8gaEdIn9/P2rjOHVF
su59bMHsRSKf4HhNCYDN/LAoqzdd49m3VhSR0x/nl6aOyKHk9gnsdP0JkgqkcUxfLAcKqBTr6NpN
nOEYUZLT+7XfjKpuO5RMHqv0R+KReAjmTZYRwgqyat0EGOei9sZYItEDqTp7ZHVMluzaPnsf/fni
J6NLpDliC4sfPfozsUQYKbe1TzB49DZ5032lmTjqPtyL1D8URvNFo3BjugF40eRRRTlapGquZcIs
ihf0jfg2+4bxe/cklHc3jVCokqzT99Ix7+OUCKBI8SmXw71jqfnYuBn7XIAjpCGGxMVRtHITKvkM
4cSWv+JW0zekWfuWqYBsmTk/1mF165dDtSF3euCNh3jg48Bt2vyrBdK45dNxAaFGGzv1z7NnXMs8
498JqGZKZhZlYN1GBAfS2TpFaqQfHtwfkTvdiMY/YgTdd1737SrUoqlBpAiy1nlozfBqVCx7sHUS
rNy8/NbAytbWVHCuJlfHm7ad057D0Xie+CDXQ958QRIhnQCkl3ImZ3BQfOvefRsDthJhFHhMYve+
0Gw28KbsFa1xWy7AuYhA3WRb28mXN0SPToZ0Lk5Jeapk/N4E0zWiLFr1IryzInXF/TZtapgae2pq
rgnT2CrRLT5j9ahC3JpVvAtkcuQgqy9mBCGhs3Jzo/3yu6zE1TcdvZdu4p8bWfTnVILDtvMOLoc2
Xkx3QIMdIsLpebgdcX8eIATT4iT2uq5xZ3Q5WPVxxN7vNJg+moL1C5BJgAJMzX1UqaM2q9eR24hE
T0uGKPZvexlMsFmmB7MMEN7s+mi2isDD4NlkJRWeWvdpVMB2WyZPysCjbAzqbrDTz16aAMcWmTJ/
IXqsN91UXMfFeszgbleo1FmHifHReOVzgJU39kjR1325znwY7BPwzhoRcoZDEA/ZQeBhwmTBN96Z
9lNuXHx2MtRY/daWDA5ido52nR+xSyxLpIT3I5+J93FdsDrJ3jQa6qjf9/tUxy8RX59Ag3a2QEia
zr2V+9vaqM5W4n+lPkCNaTHzJ5XYZO148Sx7U9fQBIgvyQJiae9+NMDiurxcWX15juf4kpXwu/v8
oAuDUR7Q1NB0jgzEDZCSpNWFz39ckp+CQJG9mT1K/zEp4oPHMbpJ8i/hZyiJJe1PZcLG5H9bZX2P
R4+lFbdFssisVfhp2v6jqbNsq1X84SXyRar4piIINzDrFOSUca0/jbqOcY6SRCV0GD9lPQlXPjwG
n5HHChSj3CViWjcyZn2QgzZd2Jz+xrydoupp5k2Uofve4rPAaxHv54CuLydYhDXwFpo7z+voU7TX
Y7uVbfJJD0PVHhB7GLPxVjIEBlAM86ubsdwsUmrUtduwagEjeCaOXBR0nTvLm77zGh/OjfTWlZdz
y9Yzbo9pPqTL4FAsrBx+u3mdEeJa2S2hmXbEWqxxkUZZcCYzcGv5yTG0OccMCIzYvY9K9nvl9PvJ
K7e8Z3e9EDeiLA4pPU3Rsz1AmNd4hMRjCJ7ZkaRwa+Z7HTc3MYk+1g+dOvLSTte8tWSZMJd8yjEC
H4AnC5sVWvcpHZOdhCURFN7WarpPWQM5ixu8Z7617e3iZHCZWIwcPKUIQmGshxwiZMQaAh6/Lrrl
0jk4CyNlYsuMcKZnJ5ug59tLbO9RqW7T+B7s59zYOmQpHemSUlDfI+DpznEpVuV71rZnHZqbaug3
BcnKzDEOAz8xkcxM8hxrQSPiaWPicBonsrxCxy69pnQeJmi82DUssqTpa++hA3slc/JR89CV8jtr
FaWx2mUuZUujD6GAO97Mp7izUJd766hw7EJMMa74hbwVyPS3OkAM760IznpknbyAfQt6eWyZiJEB
MyqUFGgMvUn0WqbquxYFiflqVivy0vyyc/GzJPoAeZJe12NMdCM7vmqRhBSwDAm4fcdN1WbizrAJ
+vj6hg0WF5XmAZm58d2Ke8ECq9I8uFPebswk4v+0zRBHOC1WWthsS5s+GA9eAvA6DJ6RHcrqNLYj
PJUAzn0+gwLVfgqyvUc16JhQuMzLfCf/yDqubrMOr6nyPqo+v4u19wETjZpkkp9/vkX9183nH4h1
/+Ok1YA9J/+5tPp/0hkScZ8XX//cpS6v/K1LXfaiC5MFhiz3FcIUIOJ+61Ldv7CZ0COZyNpQ59/3
rfyHwApT2166V59pjO+KRXv9e5dqsbGbVSu2TY+yrGH/EwKrJ/5535UwkX7h0wJwBvW9CLC/E1ij
PFWd7m1346iyfkLVdYALVN5mKuhp5oktbpFU7p1waS7hLfcHb4ZtDIM2JzleX9Os/rKLFipB7mKH
EuT0Zor0tNLcSchsTPbu3Kz+VRbeYy0x2eSxoP0JH4PU7bALkB8vwi7a4CPgmQDAuWHnREQJ3P6I
mdG5Eqa9LlFnzG0aBveuEd0kKUsBGG3RXhrBqiPqZkfFaYjJuJrpVY71mYBWRea547xpw5dq0NtB
mZwTY4peWmB4yeb8vghhUCT4N8mKJDd9ITByGNXHNNFkW8VM8TphM+F4mAeuz2JwLkohrU5Tv8i5
/rIITNyFjOaKynvrAp8wxBINnNzk4s49BnQzp9QwZ5wnCm980Y6kmexg4xrVPYaJ6NawVLRRwTQc
uGs0iBVqQ8MI7gR5yGOPF07Ql5gAVTdRiFG0nMCU0aY7q0mqM0BkIAW41Yu6fEkzlgn2eOyqOX4b
kp6s2XRT420CM2ysLYvcP9VhvMmc4iON9SECSlb41TceqK2YCc0O8WasKVxlWX4EE854aBghWyGz
mrOk/5ksrN8GDyAyl3/tiWKQB4Xp33blc9XN1ypcPAo9CJNMdi9tYi+4GlzkbBZMzGcbHpCIh4pw
FzsbQROY1fCIK2SpEmCQJMVXht11B+BwN5iMyliagZ0m0Wh9+V05UnxPBheQnZGz9StHbi1pnvpU
uqsuy+v93CQpq1DcS1QUryZrJpiaBoeRR3KVqrncDa1PfNDw901Q3RQjZcQkMY1VzoRSHBOoy6ra
fQjYcoAoPLTOttPur7ojQG8bgdjMTqJXhhDgl3pqINvPp11emul71BkEKN3FJJ7i+6gK4e/SFr51
bdVyuVzKbTV62GWjJTAcxe1hjsWrtzCrASzxnEj+fEJI9X1Rmm+Jtohk+dkP30xP2L3uzLin+tf9
wXCKV8vIQhalYBbq4ilZs/Z0tQza+nKsbppE37slULfG87ZamjuVudvaYzsDIYAX5TKfozC6VAAM
CFWDP8oDte5YAhEs4zjDhS8xMpKk6XzBBbgnb7DrZvHTw1P1ZEo/4DbLKeb1wncjz8KGHs1lPH2K
kFqqtjNwVAR+JBwnXU8Hd2Zq6Kce7B3DAG0j8z3rzra56VPCT969zPSyHMnGZ9mlH16JsyJx241I
vXYb4EFOEyiJleFWx6imIzSH8TPHOQawuL1xWPMItBkrWVPcznZ3HwV+uktd45pYA/ESki549Z1T
VGS3A2wbjBLjkomNvkshzgY5fSKheK0E5DaziX8ZU/ThDtUTffxWddNTrct+px0YIdB+14QrmCMH
+xxwyHoam0ep27tC2ftOY6egmTKd/rUj6bImiH0KJjD1i7BcSv9Y9NX72OgS4BRanmXF31YNKGys
vgqq4VU/8N0vCm/eF4hNEAy8VWdMFd1sS7+fFLupayUEg6V2UHmCQVL/NKAmb1RcNTd1b259BTvF
tbOt1xH7nLv0MWR49IzrDi5z+1B71PORC8C8j8/JNGysKb+PiiVkXPo8EOG9VB3WkFLsfRhba+lz
1pcj/IO0l+dsVhubOAL8qek8LStgcgeZym+BcvaOgSddo9R3U36dsU76dFmgwZdaLPc/STuM29i3
WRqYmZAwEotoPsUUqoRIOMzmqxtWTxiWJ1p/FsLaWvUndmTFpEIwGPWmQC+i5BuUBU4sT240vR+h
fMmA2UpsRh6VTvCWOskCYJ9sLO4jdgoaTCn7u4Z1BidLaZzvcREv8OGVjKxXoubvzhje2oNqtm2I
fSEx0zu2IV2F5H30BHaxZPrF9lTzVLXilSWHB8/11TYMBmsfVAU4td45U0q7d3KYcEWRKFJ1Qsin
+ara/MVM2f3itOWe7zSDOAc1KKt39GSUYrN3LkjM1Bl24DB7TBMNAaFLn7JOUnw3715HjJ+A8b0h
reSGEDsZoYYwvpcTuNDzYtyQANStujkmkTxqXW8qIklbO2cYWYUWVl+21IBxpq0tCKHAS7B84FJs
tXqi9zNIt0aveMaBopbhTRDPDcwCZ2+zUTDu20NpEDMGE0NS6iaqIlKs6rHrDJt8a2cuPYQAkIav
JWMeZYA2q4V0ii0r14yloGRDVQvui7OF1sjrm92ADsK729qXWbebLhaXLq2ws3ohQ55xY7QVEhN5
MN3yjllD8+5WbM0ciMBXIexDaHAP6UQAFndin+DIcUkp8la7h3boPsiinpnGsKQRcBKW69YZfOQ8
UqWqm/eewFKBc2v22QXZzCHiEjuysSjxzZ4Oag4enXxi0ut4T4GM76u6PvX047Z2roCusQ9CGV4N
2OzRBm943r8iDweT24SLC9T7UTShxKAvDhXiTpxZ2brUZPqdsLqzbbLiTPzSFYASZ5FSrFViY+rx
G/sungrSwy7BgYbVlILjp2D30EoFGvJ0dS2kvJsNMgFBFr+woSheOXXyHoriWgjEPBX57NzCsN/E
1SZdJnCGn8JP8RcxRT7XQZnQSrcfudt+TimLGJyhuBRJfW8ECWKEBISUbvygAgPKiGLXd/LCAjA+
mGonhvDHWDD/NCUnFWFt/4h68TFjhF/nuuTRM4FNpdyoq4DLjKDVfOnrEhxwnXT7xrHfgga+Y+Vr
elwVvNkWJs2Ugm3PXWcfmgoOZDYB8kskGITFoFeH1v7PNx7/y2ZjAdsSfWjork1P51kU5/9lE3Lz
VcQ/hz9YPP7lT/itGXH+IhhmLuvK7b9is//Wizh/8W3HIbYT0gIwEf/9wMxHgg+Z4Vu++OOCR/8v
NC+BFQjMIQFWEP/PtCIW1pB/Wr37hz98aVV+14oEEXlmUUlqjCIjODgFx27AFwgfl/HOumXNauZ1
sHOCYxEFZwd1cGZZnUqxcsriilJgY5nL2QZGQHMj9fQ9lu2WPVmPxFfXeFy+69y7SZAuuUp6gszV
sZMelC2O61z9qLz0mHdE8ie2r2BvQlVZ6T4+BnFA+h6DWQPExYXkK0jn+PpSsLomgLIPRpONkP2j
KTGUe7mFcJZexpErwqhBrXZF8JRBEYCXA4Yze8iM5qXEsFISIPXLhk0o+evEWGpOL51JpemrQ4jj
kA09C2QywzLfCk2+O7pDLOqTmtWWDgmJJcsfWzp/ibrxKmrQABsXo6RLyCCs7YciJXmYZNCv0edD
uC4wXnZ2gKTVxWdJSsHprmn9biyUOsPt1jKp27U26SeCRLz1Kr5zu5DFPUX6xdphkC9kVEPjqfIx
AON5exU+PnbOcnZFHPg2Qzfv9jMgU9gdp5RdxQW0rCol2tg+kD54NGagQCq9kxRIYjBPNNYk12o2
3yTOFlw4VIF4xW6GnZdELHDkIO0viyCvu1vmaNtZEaZqr3lDiawoAUQOgW3e55QmPSxzO38apmdB
5Z+yGLyQ5rgyugHdCEIwcexqriHwBA8D1lOUzoMceD8kwSs9PHrVdMI4wCYFCI7tbRawfpArvBxf
huo5ZLfw/IpAeEzURx7gIl+YvtDDJjS/unpN+IHAvjFDk2wqWE7uCEYwCLN8tCbbIm0GK3H00UGv
5dh0dLzuKs1x+8ZAGAjGXceb2bhk3b8XRnyeP8UWqneJg5bqXr/7Sf9/cVz+79JpWA7DhlnHAb//
X0k1m589p6RMiz8YCv7w4t8OSOwBAlctexTNYDEOsDvgN7XGQ5KBMo5aw67xRZT5/RFpm0HghYIN
AEGAVe7vag0LBwL4pgI7gY3uboV/5ohkr8A/HJEujjvLgRGI5yEMmdT/8YjsAcpUgcgCkF/pdDXC
Ggxch0hMrKLAtSkFYiigyalo4D87NMOfY01raFQS7LjvpR8gYNO9sFNwV6mH0DFkD27hdLcTz9kp
dwJ/xQR/2TPShW9O75ySuttN1tDyLCbtK7OsdWSzmkh1mKQ8ww23PDJqW4/5v3F3JsuVI9l2/ZVn
GgtpcIejcbMnDW7fkJd9FxMYu0Df95jp3/RhWsjKqsws6T0pB5pU1SgikgwGea/j+Nl7r/2O+Oju
Qh7zBhGyDYfgCYVuwQLdzUVQboCS2Ss4wAeQY29z52LS0wqLDyhEz8Ky5FQ+2Fd4pmXqAKdb3A0j
RQWLyPA4IBNeUWoDtGL0gTjFXGmKac423AjolUKkOMTCgkhaZdEmav36Cgj3SwBPa+WhJhd+zGSI
Lx22IhNdWDxQtlRumH1w6QbiOq2i+0noU5hIGBayu/Q+MN9Mtk8pt3unASBKeW0SNdc1HO2V74gA
oxOYDDutLnM0H0nZYDYwf3hk3FZ9OZ56xyNPFxlHbvMAPluksYk+V5pg2EroObuvuB/kCd1r3MF2
zMuPRIF3Tt0c0DkuyIfrHuiSbbqY1gq5DXncFIbcD4WmCrEE/YRrvMr0Z2wjJomw2U7W/DEH1ndj
aWtTd6ZY7O4/J4siTGNq3u2uv/HT5flkdc9RrfeRKCGxROZVroaz4ylvJc3+R1Hzsqi9R9dsAfoG
wYFoAAdW438OQRycYlHH25zmAi/C6UTybkfE5VxazRHC9l46wXUDKxvldqQVZkzv5ATU0KIjhYRR
A0XT8hW53r7YDNr9KFH9EPThVsQi+AENgSExTb1NYifNNu1NaldbJP+sV9EmVpDBbOgdvW1/zcQN
lmsELfXTusG7vA+DJHj0CkgkZpl9D3aWbLo4AiqfzHeVCiEKdFjM2YiAq0XKRmZNaLwYUe+Sr6EL
vyza1ZYkN2ZEE+hikQ/2GqiJDUg77K/ygbTYJCpwhYHMyA1BdSQWv9Ni/FE2guARi4e1oEC6tyGL
8q33RrBK6UyNcpc+CauR7GaIU93FylhXhXnUiieObdTmIVyA5X6H+FERWOBCrrN1VJo/K37YBTSp
DT6hA6yveKPj8S6SlbmLpzIFBVEToMvM5meaS/yJVjfvJF8n2wumFkqvT0mUnkw8lbKS95MBjYj3
DD3MXDogOGOAZ23RTrWkc9CCIue70S4ew0OeumCZ011r+nCoS+MqcQN2VALaQ2UFWFkQivvgFlgg
qT2SZandfbotpfB+qbdE1vWqJFMJuAnN1hvzjd2QAsMmdW3F9aGgSpf+4xXEDPJN6DZ67p5cK6R/
IpPJeuDSqkqLUrKpNdaEYa1tZgcYIbHWN1vDTk0EdmKTs7AePM3xI0X1OVUAQHoPBm9EmpEKCbJZ
xlJ4sBRAsoqd1qnsJBeYigh0Od8y+C0Q3fRulPZ3ZIpnzhNYo9kzhIqZ7asVn8iol+up4SZG9GYr
FjOgEpijBjogAoOqoSXHFdr+drnQliN48Ep95nLYCZn2+7BaCoJEuq/9IFlpa7gqrOA6LdyfZetf
vDHGN2z31wPVG02lbrUNbzsEWz5Y7kPokfQt5uaJ8DDAzT64JI7/GPMt3cccVmvVsyLJJxo/sigN
djlZc9JXew4Cml1nTMRikrtByM/Jza9sM6z5ZHDVhAxOdhQduhhJGMttsAcneTuE40Ni99+knJ7a
gohvHzafHFt7w8pMqGqDR2tWU2qEpqoEnYnoCN3qI6q6E08Y4PWmANJglV+uhcBq8YVGdoERFYh4
7eh+xevUo+vDd0jEOLvBIGwic1wvHmN97Kiaa30a3bBPwpI8LBW25mSQEaLqy+C8iDFYWM0LT9Qr
bbXflccxmup2Z7N4g1EX8maLQccYqGjg4YOWV5WO4NWmvO0N1h4fYJ+Ro4eZV5mrFPVd5nwgQDs9
t6k2nsyZ0sg0Me27big71mJh7ZzLcknPm3Z4op46eg4SmA35nPNT47L+MRbBbdJMYAz78rPv3Zt8
SYbOaovboIbcVcSXJdTn1R5aqZ0bYEVwkIKReeS197OC57E2B/+TLc+JVyRxu7AmdFETG8HI8UJ1
+3bSLniVcX7z2jbBkNzrg4qMLxYP+9mPf1KD025ExT81H/Ov2IhoiBgJBbVVcDvlEoCMak6jZxyr
rn0KZ/eWLcFxJO++icrkSqr2MPbFUkqsafXL5+f/SnWCnhqcBwzTWIp4739U0YwiYZ4rwyL6walT
dFfJCLNb6h7uv56nVUArzsFzFPBe4W2MmM1G7ZrRpfLq9tMb6UEP0wY0REIQfsiuJrdhOrHVt89D
bY4d8H1zAtA6x3fiCn4L2zVsYuuUB0Dy4DU72Ypo4jqHFumJlJ9mMgEWahIiRhjsT4qAPbb2O5fw
dez2V1QeeYehrT7AoMNA1LDO0A8oku9zn5gDJg/F/WNygn43qlBhmPMaxpW4PVY2VZc1HBB0CSi+
rLrh0LUl7WqDe+pdWKyCbxfo8Oe+C9exD4+6BzTb2dGeQWvTq/QArWsNreXTNOyftYs0bLTjTevg
qvjra45/rbmdx6CACIVl9j/RV9OO5qj/g7i6fNhv47r7C5Ilc7rN/7HuYrH9bVpfVhOKbQbTsrME
SBiU/66t8jFsOkyPidMhKmvxR3/XVt1fJIkX6TJYS+158i85gJlv/2lat5bPBgIJuKcgQeOwVfnj
QqOOk6Cp9AjJG4TdXSzMdD9j2LgFC4P5YniBw3Abtax9LafjoFXZAEethaxmW6xClxrQhfYbibPO
y+Dk2+4jm1aW9GNYbl3Pu4w6pONXwq7NWoSJKWGfabfZk0zlObf7SG9SBASgl+a97xmPQxs9WG2u
XvuIqGlfj+FHIup+XzOrWwHJ+ilPj3llP6qYKtEwrlZVaFrnJNAF2Q9ARW6iKcZJe+/Ork2BE36i
TRANEOYz3ZljdXL7btiIMedfNYUb4aID9HRjOCYCsU+JVVhXb50CMFUGR1HMuyCCXEGanegLlRWS
etcouC6mdOBGjBkxoEpc1BhPumFB2rjT3vPCbSTFaSiJ9q4UeMrXpsKPqHqckVEbJPB8LO7wWVT+
5MKBMAj1y15XgwcQMiHpN1XevJ11dV8N/tU0GI9GX1isLMan3s12dToVm3Zq9unI8mAYTFw4yXDT
q6Kjz9eNbrxpegj09NOlHxpWEOlA0qg6dI4kL/DBuc2JH3i1BlPOQrx1gr0lQXbY9b3rmHdZR9Io
UhQbJkXgAnz1Hju/2cpsjPdVgeOqHR4MJloY2zOzw2Tf53WTXNyIRXjrmxABIo+W1t6jVk4FC18Q
04dvdmqV1NGD2cI6spKxoxC1zO9yPOUeKPdKZ86VlaWLZ2rjMslFEMBtwpItCDTmHEiAKMaHzq1v
TbM5UPdIB+xARsjGiKxb7wk1othVQl1XZf8meHgY/qC24wiSwvBTvQ61FR9hcKY/UovgLj6bT4tf
AjzmCxhqyoWFuw7orVxyw9e8HagcGfjCTV0au3nKrjFu0iLrk6JqZvet9dL3yVLVoUzw6OgyIOZE
KifSOOvGqgmgUILYmqnsrUKHjLVbwf52sa3hL8gx6zVZfCuN5E2W+k0zvpi2B2XIIuFiN1D6xsqg
ygnbtlEAYdcXN5ct9kE28pOsQAgZV8UUBpchiQm0tOSsY0km11YAMmaus4h6waZDsFRQcte9xN0r
QvtZYxVcinUALCs2/K0TXnKdHHTIU7Allj2laPsuT/0JyK9hGa9pHJyHRBsn/upx7Xj5r2Fvnj0G
nn9P5fekkK7Dqb2RTXSZuJmYZvfcmi7vsuExdWDOJrGz2L/LYWWX5U8/DTNQQ2n6HkOr2ihgE/Q6
AT/orft+dF3MChSNCGNAeNTNeDBDqnbCCGXLlf7OC1rQTSJ+G2uSZ1WYdisbqyfZMYPMfVs6t06T
fQLw8a/7vk2vq5D3mMK2z+qMcqFxguQX+DHZXORsUgrGdZsRAQhSat8cmtFJ6syvxeAfmStIX5W7
iZyYTkeJjapBcpo1Xs/wPiwrKjAwh3PPuZi+8aDz+WaIJklLVN3sYWt6a1dwqZ8aKL6iwNQYxjRx
RunzRKbP7nmCq8ilHsqG3sQe5+xb9TFfrpE1tole5he4GHw4C4elVfcU5siMZK8+0eLlrk7GswPU
0Lch1ATOLX3VW0+HP0BUO3vWO3etc4UFYXLsHx2xsgGUXWIsxmS4+0Wp613sYxIY1TEyuA8CAojh
1wEEXAFNuU1CanfMNjnjwQDAOUTn1B8/CiYg14EmF1OtQsNd6XJY9UB/1ez+cEbjvgr9ry6KiAWE
7oXadtBs49cQVXqlRcB00kYfJc+eJY32Zbn5Q9P7kEgjkv1h77iIhFQdMbnuasd9MJT8qEN68TJH
HYjh7oOBxWVE4h6Kg1nj6U7oNf7rk8u/mEDzt9HF+09VmWfKTCFQ/Xnd+PsH/ja8CHaDhGc1qSOP
aL36fdcofuG3mF6UiVqjlGCh+Pv0otCFFJlb+beY0h+nFwunmb18xl9DT+Kv7BqFvewSi3QKinxp
bSUhRa+pRYZb4wxTpvKWP/+DHMMlxbDxA1DIB/k2HPOLAVYjNwAthD7rAzV7Nz3nhmuz8barS0n7
mOekm5jd+6pryDBhU+pGtFhWCM0sjqMSS6bwzu7jl0Hw+EwcoNQRoB3IfCz+QgX7tgFz1ZxEeEG0
3bgo1mbZOCu+7DNms9F7rER6rQlkWCLfNhoawuRf8w95NdJiV+fyCNFkbYA65Jh7t4axg5XTftFV
dTLzYiT+wFquT5JDkZ7C2bOPYqAZhp5fbLmgQdJFCPcoGcDQkF/zEOcy5DwMU/IeAC6evGbT0UjX
Uf3QsyiFdXM0h+RaJ9PaoRTUs4I3G9YeNHng/KG73OwIQoRmej85aeuds7getshy2zgfN2ZQnDK5
rboABw84KkzgqRhuZPmF2wtt3LkdDWrZp4i1YPiFeFQP0zc0wL0n/Gco+8Q5VmUrr5wRr26d3ScR
3y77PqXQXYY/LEgYjqNpzKBCqdv59Z1qr6e+Wnko+47lQFwesJpivhvJ2hr2KXEeCgLW0gO3k3P/
KuCIanmphu4tL+8tEjihiI+AOsCs5ER6W4MpZhrG49jYMdAK+2gwA84FUBMcInCBPzxOq9wHQWLG
7n5cSDwae9OoOjhlOa2BGV5VG3vdXz9w/rWuSv9QKZY7zH98W7r+n/+j7srvf6NkJ/qMyncUvumP
vtQ/fZrfDiC1FCWrP1pJ/359sn5RXJ9clA5gjSZqyO8H0KKQ8D9T2CTzTcTm3w8gXKsm1zqXk8tz
LZI4f+UAksuR+qcDCCFcKU+6jgBNbRIK+fMBlFu2osQ4khtEArYeGcs/KhME4+PC2jCpgZgGwpWk
xkl1R28uDSjHmbEZQHZXYdg2SdCJ8VD7+6b1HtnQAqkkLUPLXuxfOmhSgw9Mjqn1xvPGlQedg/JN
p9kTaWTNMxIZUY34xvfAEp2/zhu6mNU1Fu1IvfpMtLTFED2CWVXCM0xm7kLepm/8nyxdTrEcHm0W
1Apn14bh9ezWzaYs/adCRg+5tCi8JQIdkY43iETrtGF7lxXl2vMfCpYeS2waHN1+nFPrtSJUbZI5
HOddiQZD4Bo2HYh8HOjoCxu5ZLLnxRviENOmDgWV/M0rBuBhpmQvRlCNWDfQxIxmhl1N3FsvuW8z
y1/kr0lwIuFyBsXDGi7caDSQYsmNN3Z/Yt0eAJyaGt73SXWqOIaCydwUmONLjEqs6DjSDeuzmhVH
KuwuHDONzeRI2dFwRWvWFwPaURKLIq25GUm4Gx0oBxLvRZdsLWt4CUzvpsox/ruSTI1FSl4m2cHK
qdok/sqQx461xfKngug5Gp6nkToGR1k3qTA5wxL70rcYUcvZvJ2K+qMJKXWvzNfAfCw1pfMESnSX
w+hGZqjGd+6qa0Xxp19Wez0RyzIC7PcPcOSI69XmOSjv6t7nJpBtMtc7JliTXB08utWlnXOaS8VP
x2fn2oJgmKybob1uk0cXsak6zjOA0CUZ1dXhZlhcNX3GrjYFnEVYIE7S68GbDzGvyoL6isjBxWyz
+UdiD5Lyynece637Y7WQFmrqFhDhLyEwudUYe6esoRCcHr6RRGzhIBOFxmYuGhZ+ER+eGrwe27Ue
nWvROtcL45z9/2ewILYcW97ZBMxkke9nVXxApbuiI/Oim/K+d9UdJMu7IA1dGoqB2g6CXjhg1p66
JofymM7DlScx7Clv3lt2cQbmHRP70A+JYuivQFpR7+1l0076Niy57pyIAL6Bg24yOsccOwQ8ChOJ
hsghbYTnoPKuBxssmHEDYvNetQg94xQL2AHBlUdBZWFEtzmigzMjFSaBfU28XvAq8419TTsm9Vl6
Ml6hiD2JwiG4JZXGY5VlDADyts8e0uyWFScmAKIxkPUd07jX4CxWZpRr2n2biyc6FncE0Wy4kWez
qJ4dGq5adhyR2U/vGaPQtsel9GAPQj9AAEGIryl3NyHeYHMbE2woll9sKIa+1AF2lJLut2aBHnE5
BeSLpKajr8AOnmiOadb/X55sL6SLy++v6P3f/xT8/+9//mXzt18H38XmvX3/0y+2uOLa6a77rqf7
76ZL27/HC5b/8v/1D/+NAZjP8jiV3//tv/xfOADOfzpKr79BTv/xQfbb6pAP+odkL8Bvmajh9q85
Cp5V/whYkGq1iVaQVbMkxqrfn2LuLzZTtPQsoX59vv1Bsl8IATxs4AMoNtDYif7KU8xzzX9+iklW
ndgkcVXxBfK0/fNTLIF1irXcdTYs8M+WY527GSVYusGjj7WwVTUtw+Upt30Gt9x7S12Rb8BBPUJ4
1/iJ0uxULOy2jvJoErPksAFQwcqWBOAws/TlYvR2MDyJEckrNhnV8/QTbO6PaKI0TNTWOZiwSRk+
dLyIKyolysNrNNktmX5/Qx7J3+LKKphAo+emJX7YYAtvh4hLZS6fZ6me46E4agQVVj0+f5kf0WcK
1VX3T5aTvomaYChs1bdMm3eYZZ6GUN4D0RmiCNacix+21MQMa/uSgHJu6GGTdnZTd9UF0sxayBzt
R3v3Rk/rWpOe66jrtxlrlq0/UDpeza9qTtn9oROZZXfMKuAqjfFe1e4lEsmwLZlanSo6AvJYJ3Tj
ouC48srleBwCe6fc8R57xi1btS/PfGNV8e2YzapWmtBdQBFpDfoMHeGp5QeC7SfZLzyHNRG7+9nB
rzm6+7Aur1Qo4b5XyMQlucYhYVIYYYQvyMV7vniBfzuy7zT6EAeZe23NwZHKiMuQtWwQi+hGR+Dh
eojAMauScAiuZD/b8AuHXSyjc+JjxDDpNC5MJOP4HX48Ta8+zTadQa+xmnGN8cLxeGT77RXxV05Z
28caMXnvHWDQ2AkI9Fllu+8gypq5s+UTbAsz+Yp99yObqhPfqH4v0uyrmtIFOnA7Ocaz7Jpzn3gf
VBWeEtrNw7i/NcrxmkeefciH+AEfAXqvyn/mc3rVFnqHEhSugp61iCM7eA/BnUW0fZrGK5rOGIUi
30JGyj90J1HExDanPa9T4lUbgBwNbW8km+l1XPMIbhwQq2XVviZ1/Ow1gMU43C9AXEBKJuo0+8nV
pJamaoelzkAuddYI1WlAhUIv8bXy7v5UBGyAUXqryvXfI7+dQHayj2IXA1agay7Z7KFtBy72bSf2
Nx0SezyqrQ18Lkrq17nW32FIrDqERoNQ3pAtbHpYbhIRKFW8U5xhka/h2/HUhgSTUI8IcGTrqlrd
9DNGi6aXeGmrGwgCdNt2eXdC7rqPNHA6rkIP7Ms3ogeRHanqRxsDUWgc8730mvuuNF4Zj04+tG5Y
MwiuTtQukiEhwPmQzuZaYkX0xL0NfbVI221W6uFHV4V67WNcXDkYdwhCgxuwFgxQGp9A51H6XnTi
OvQxqcRz/pKkiNh+YbKXs3EDu7SGx5gudNY/smI3SLvgCBGY6CzWXLtCOgih6F6Ny/bZDVBjgwy6
6HgTYZ3xBoUqKM5t6cJXzbatywhaJ70DnBWMrCfOltXSgWfv3Hz51pmChESNWYS8pTjL3jyNUoEe
SL0TBSvkC/gnNzL96hMFzXeAdhDXEC+0Lq6dQD40A4vmxPLuHeC3a1rlvsNY/sA1uxk190v4h9XK
xBe9ylLr0AXTK0HRT9x1RH1t8dEO6LSzOTCZjUdWoMR/Bob5vNkMg3WQY/CBhwufCh9SQ/2ZIyLS
JXvD3proUusb+qLb4i4rESQzSSvU3CG1cxWmKJVWBGgD8Y+Wn4k1EHgwDarfs0evyfdpV2xV5ept
FEbimJpouh0EhW1RT/u+cLI7f3HHG7xBDyNoW5UGajVMNu7IiXa3eG/6zjqy0uPA7hSzLVNgeVuX
7gv8iB82NhiZdBtZlnsjFtvZhxTVkHf2mbxFrzeSjfyqsQCcecFCb42HrW+hjEihNoZEQx0snDBt
H59mL723U5gCOaTbarL3/gxWcRL20Z5c4JMW3gVzTc6GCurauLKd/rvmzNdxexu7/oVtwWtuOYDU
Kp4hFpHYK15jauWadLoW3odXURjjtjitcLPIM52hcMyaEi59Q84lFvd9EL8F1fwxDnaA3yl/ygOa
w6yevoQIO6pNM8cD4dWPum4e3CZeWhUgh1qI92tmyhc9hzkQywAjT+YVqz4tXoPav8tj+W5a1QG/
z6eaCn8bGsnZDcgi21PukAEetvlAnn6UCR57oKKbOoL3puN+jSbPtJjqV6mxMw21s5fR9BikwjhV
Fa8KqX+wneO81uy0Hdriyi6/CW2iJjH5bszWJ8ePKI1qbiDMsxbynCMHh79q6H5/SkdFX5gH57wV
tOYVjqXXXII4IBaRx7Icc+GhDssPddj3qQr2KiBwZCY6RG8GutpLYiyt0fN7XflgRTXJw8K+HtOK
qsUZf5Zl9Q9Cx5QOx4dw8nHQdemtO/eHqHGeayqpiFRW5loROF3RIPCOi4VGn5KCtjB0SDZBr0oV
K3h+64puZxufgj6RfcUVnOKdqU1Myk2tydOMOPgk2GDPM+6wkVd4Q/IlkWPSkBMx8M6UKWRF/sGp
OgKzbnmiuirflKLeU63EWshRgFHVR0J/nRP5u7Yi+NMJBZSay2ZY5Z8YX6DY9VVw3Y8k5jujh8hB
I3JYqEeDb7+kUIqsAokdG39HbUCltPLxte29+DJNTrydZ06ZOYfA0HbuQQ7Vg5M0T6JsyrOOzG2h
0m4vovSjjSK4YyQknippfA9j8BpE/fecYVOyeZMCVYrZlYl2DQQOvxQ926NJHQYmRK6UWsCD6xzr
NGBYuURT+OXBsPcKNlth+xbhnQHr3zTrJAvttdOY97PfyC0EC9Z+w6vmsW8ZQDYdtWuoAbBcE8dh
cORp9VI3FZUYZF6GHqsBC0ATho/BkLoC67mCR7YoXpx9RWJ9NUJ+Z+1wTEbr1hzGq2SRtRJKkzLH
vBIM5yBwLunCkEczFp5zZ/bW6+CoG3Dm73xTL8FCRhxprIOmH2Jv0EPy0dGc1xgWwFO+G31+0yfz
dTsU7/hSHn2QCLQc3dc9pY1tRO6qGpiIPHYYmXrI3e7MSbV1jcI9zmImx9f6k7vvspwcj1kN53AY
Tr2vxLaW5k73hNSypLyx63CXR8mjMlk9KoMmW1W/QWkNtipxHlMtTs5U3lS4Rsv0qYpKYqkffZqk
W14P57gU39ol+2TyAu/FRao83ZgjDtPCvmPBhXMEvgFaGVFg2T8MQ/xI6UIAHgXNEavslTXLzz6z
wm0SsGgSNooN/Dr8BO4DG1aofqSd2jDUuK3k85hMqySqljv9Y+nWZAstkeEjhWGTdP28s7IC5Qw5
au55L9fdA1B3emJse5eESC1LJFTgaheeewzpfm08KJGNae8NV17XvjxWdbg1mSTo+zrZKn10nVCR
+w2JxNanRoXnKoQ3N9T9No79c9+rs2HzYOOavBvG+NoICtbm0QpQ+qZYmJguKS4FvDK2yGUHgSTl
XDN9F0+Q9bYOFWt1NBxKi3sGAgXcLfr+ymDYhbht8CdF24TxpnT9Uxukd4aMwAfYJpzC5FWG9cGm
70nQCWp5wxZgDVyOKV57vX3hYngqY5JYXtYtLtoJY3wcbtklDsdeO8fGJcicAfuqR1j2Sc0ualAV
pk+Xf37Y1Wo3OVxYHMl/RgXaWrlWvydRqo4ey+YVSkXMRodGzxDY19bgvUsuZKmQNr2H1PHlMiVS
qZcW0JR8+y5lzMKW4GP+FISUuccvPAZTVfplLjoeskSpNK2wte3QGTwqmmO9bt0L/Q2Ef+OI1L5p
4m4PbQ61YrCvmoZ+yqxBOjUsubELExW7hZth4tjVcXOLb/MnpleuVqnbXYZZhHu/4vvvK4u0W3tm
rX83O6beYDA7CvhqogoTUCUeBXPeS55n3aptl0GHdHgsrYNIQojpTf7hd9XTlGTWhgNjZ4z6fppx
NkriJ86Q3Jlz0RMyz6KtdOernknclhOc9Nkszq7Ebawsn6xM+Y1nRG6y0XK3Q2YSj+kfAZdxNDf3
5Cnu3dr/zhYijSXTdjeZyVkONCa08QFiGPVjZgo4NfFX0I1JgPDUoz26AwEtvLWhy/YUeiVCdFX9
nIL+RojpLoSpQb/aSDWBJkRdB9bHX9+L/EtKjMsm4T/e96/e0z763/ciywf9thdxf2EPD/DBQ8Jj
uS7YfvzDHOXZNMETBHOWdIKJn+p3eZFXjyL7YCqlJSLkH7f7LgxTSM3sTBbb1F8CTyjnn6MMOF+E
RSzCcUEMs2UhwPFHedFVZtdFhYRhVEQvA61a9szNfJo7Wl21vMtMHx6Bh+O4LpIfmhA8yYgfHIYH
t0/2itvtuumjC8Sp7qB19tUk9JDSpPRO669aw2d4iDhB1nVnnOtZsGtpH205ZIfe5UyOnHw+DCy1
46pIf7gRdqrUEVxB+qeuM69K/IDWIHzi0vKBFlLizdEpACm34B1YNPtXRkJVT6ZmuAk+vxsLmlbA
rZUdDxirBMReCLE1cp6GS96/L51HzKY3vHtpqSyijVH1z4GhQh7HKZHOsf5pzMFpFPV5roaXiIpP
X4V3tZthSxmbI8XrRzdpa1Y36XpgSZ/bKX5IdqNhxUqS+gBKbsNXcF0pRbbTsGPyfoGeIOgqHTA+
ThhfSjN7g6GodtVYHVrhiUOVip4rT1jtXe6OxwpUByUvDL2embpLDI5O5Xlu1k47nA2xNLgIygeY
On5KvkkfaVkPe+kDY4DBAdsycqr6G9makpXGfrCCTryoHKdM5vTzlkT8T1fZ/RIJPRY0mqykC8or
gPuIez19S8vs2S1Ha2OSZRsDQuRWXu5Fpx+GbLgVAUi72oHdHzQcj27Qa4B0dOq60TVZY3ttRMNN
1ZkTKKiE8AA/m1gex4xTV7isQmbwaGMm3qMGCTqq+LbTDKNVmIPY48Hh8EpE8PWILjjth8Vz20u7
F521j1VP4K8KiW+EDt/oeWLtHOJMoXWkfcP7+lSYOJUdC0BmI910DxCo2hc6sfHxBhc/Ttd2j3kp
LxhMSyi+pWfM65y8Lv3tgPOF9WIi4DiN/RqozNsYNhedeB6/27C7ArTwxWMEGnQ235ZTsmxVWqRT
e6AUWTvc7vR3b8yEHwtNbQopnLZEeZ/47dyLcGtV+8RIGPIxyhH9vKVammegnsp3JJBo74vmmsbY
a7rl9lI2yaodWUVkKaG3Wpkw4LhjAo6huMqwjoMRlj9JCgQ49SqsikEprk38e9LzAcxT/ujlbxJe
irsY/VxnvgptaiSihTpczultjk1pk+IPBCgCSlAasBJs8he6FJdksRNaS41e72ECgJ/Lfd+zqD0I
sgaoCSVPFnbEOLYe08WfqDAqElE6pYtzcVg8jN3iZkQysF57DI6d0I9hNN3TTJrsKMfEBNmN5lmn
yRMFgigRUSb3M/0FlABrvc7x1TDsUeK3OCslAPFSBUjymC4tzJfx4sI02Bavtd1sm8WhSQsntRJe
E1IZh5XTb19SiAzm4uvMKVTb03lX3tEbRVAodMUm4qhakhpo8KazCYb4joLwX4lRt5MAWz2K1n3n
H/SjxN45QurGUM5AA138VPfBKQRf9ljnFrq/Nd9M43wbW21N9eevc51f015Xe/Z145T1waMemnxG
lS5sm6fYct9KuaAN5uMohwcZNNezrPeW7901OLZX2stuuym/UQnSXVimt3No4ejPjkob66BqsH8m
HbNY9uZPTBKN3d2h9d0xhmB5oNi2bTk9yMYmCsNlXXx05gx1PP2KAmvPWHp0HHKX1rSe8uQVvlW1
snuisHmweKJuimam96Y4GeN4HenwDI9grYf6zAnH+4X8gMr8pzwp+QrHn/NogW6zTlNul5jeJ+oZ
qgLfNpu1ALLGKmzlgwI5w8o39cjGBl/2rMGIJfHHWA+3VWJ825JOwcijf1ZctO8AtTaPQ939kIEP
uzRzjh0ek61ygs+pzB/dhq3NMtH3Lub3fMo+Aw7ATTmxlZocERP1sXwIFq466G4gJyzKy2SDP/DD
G2NmxPeWCo8Zn35dVjboPl5bJJuRdrvPyvdfiqrbFHFzZbdgRfIlak9fSscJI7xoT2pqj2nyWVXO
qbbMS2Jnz0XK4kUS/HH1ph/7h1RSnjU06dalIVAFBCNsB4huvklqoHC0sVAIwcJlNcekYlVVsGmi
Co1XYxGc47g70SpMz0Sg0Kfdp2Fojiwo8tUsQPJWJFezCTdMPLaXSFI65tUTxjubC8Mqyuqfwfl+
zNj/gOx8zTLBHxfeJo+UvsOq7K9j+lR3duKmPzPclGXFcy20iQJV+eP/Yu88lixH0uz8KjTukQbt
wIKbq3Xc0GIDi8jMgIY7tHgAvhnfix+yVFZN94wVF2NDsjdtXRUWFepeh//nP+c7DcV/BmHCJQKN
s4nmR0XHC5H0UL6INOeU6qRpCn4tng9ftvBGto9WfO5K+imSEBngXzfHH776GWr9z2+O/zgM+8ta
bf7M39dq+IDI9vtYPBgBZw/a79dHG1CAizGEBZnx4yO/XR+BnTkOCG3WbYJP/7kYgvwsYhbeEHvO
1/5Nbz2uqL+s1UjCOg7PLQM6GmC1eYn48/Xxj/CKhI+ovPKsCo2eh3IVGOnGifFI1VDzc20b15cC
B2hM26frtasyhqOvLjSGoYix4cnv7BAmhrkc7FcTC4INCyrccVkQLKqmgftgtCTC+FTMaZDJH9ZE
Rg6Fyr5aeUQ2iX3EVDxSOoXRzHJWgfMycXrqE6V9dn3v2qpbR5QpTDV8Kt7LDjyjmHIBzHFAmJup
k2sHA7JFRsUzMed6VkU1owiLx8CzvE1e850LcYEsu/V8bU8iFh1X/z7E9tpW6tDpCSGA5Jwn2XNN
RtenEI9iAzR5eCoxGFYDcRNbHoEZSaFPb2YnIvxE7Ts02mIO1VAH+xw2zbMOIWvNqokxVeM69VIV
d1Zizcs7z+DnBuSzbJW0ZkP2cye/TalFbW8mmc61CGbybZe4S4mgAtwIOUGf9DUMR2pwZbnRSf1o
pH+GsDqJyF5PcySod1MQ5tVrbmWsldD69c84yGhFNXckKd5qO4NnEu/zwuhZ6IeU1JSo5lV3mQIi
xmk3wF2TsF2wjsB4keLMDuECS2NFdtsC8lIRUsqT28ov7/0gpk4LbExQ30GmQr83e3oH2FF0zWEY
xAHh7mTRqa1IPbWkn/r03XM+GowavpMv20neAOzktHw3ASP8f+9X+9Xm+h8Mr22dvv/b6dX7Y3p1
vvB+mQdYnxc6b2+yM78ePzBMTGgjHthEimF+vPN/O37cLyQY5gg+tEW+D4Akv0d73C/YQQAtcqIx
3P5NuL8zR/r/5E3jEBP0CDgWCR/gjTbf3s/Hj5KFy2HXkbMeAFSpEYScBVP7ZHh+/FmrweYmnkP4
0mPGgmbMZ8PPlOyUk5jLyKjso6RhYtNREbDV9VSjvcUMjpYZBNdJ6ITPx4kSqjgssmfhSOL4vMNZ
MI7mKaVuqsL1wu4/FhTD2DKvNvrgVLxXwnSrCsz7VeB/jlUIFTUtTdY8fO4Uu89UDh+aivrhiDNN
zLOGSTvwoimMV1p9+Vcwr0D5Ui9sqOEIox7OY8cGmsOiJLjcPE2ZcG+KwsH7GpHbB1acLwYPsL5w
nY8uDy8RUOG40Q4OT5ZlEbL9lgFaMebPO/bZ2zievrFh3nU5xX1eYhIT7OmB7qJdacS7geoMDu4j
Yvuzn3nYswbrRU7uq17h/gM/T3UllJF6yEFr1Qd2Aw8ZX3AB+XGr2cEzUp21gDhtrKOq4BYVv6a5
/1Jhpcr18EpyiJ9X+WdRivdSMNcKlSuyi6QQgpyShAmcXwRXKTdyrlnOGyudlYzjN9N0XxN4tAEM
q2aGWdGMdNYA3eIUMM9Cr4vFMKOvuJLqi2zGYUUzGKuZdBBZU2mjH/8gZ+kzRAuFpdwlP8ha7D4s
/q563S911zw5MRhnkqHutdHM+hgzAUWB9pQPebChFJGG2DG6aaNhU5qJzxW9EuuEF+E+mmjw4q+R
UqY5LxaghkD2tkJ+Y+0212W0Hc0m3Gia2thjtZkSztExZLmE9nNoyuLN6MZTacF0CHWXAbpQgJT9
+ORV5DaCTAMaOEIHlfn0wWRzMyCg0t/ISsPP3nk2fqX2FEk+C44oSjddRd5A6f0tgwkXZXMfmCgW
w8glzxnCY0zqJXbCZQPcMoNI1pFca019rlN5KmrzRsiGVxyQmtFeJX1/Esz/wgtxCjr2M8iEdy+o
XJJppKDqKNDpcIUHXLDkvSGfT2NOM/CSUFPO1iAHdl/lpX8eaxd48qRsdxH3ffmC04sRvaymaEGR
ef00dBMUfyXe4MHRFafzCAxDfTk63V56EHccVi4M6wB5lLZIh3wXhEBmujHDImBXa1fFt3RAi03K
bdvK6Cc1QcrRBLcJOcWWDUj8EncqixmJ8aHc0WFDhB8umUngqvDMB6fmSeoZBsTVkWJ2HOKxTVJO
G/Bp5+KZXuqB2qriSmqeYdWg367tlrGTPjpleKTk/G4gV1Ohj0RWfJenR+5NXwkI94uqELtEjPf0
sD9WlVauhB2xNOm5fARcV3RvuAc5jQfVa5NTr6FlyCZaVnRnLlskZNaBuOdZi0MGNCtUCGVdDEad
0OSA8aZy01bUMZthh/IVvKSa9h4YCVQfJ/FJw0Az7GmEhItC1+TUQMzsjkbXjusRg4L0873njJhA
auhkaOI3Wp4+GuC8y5DfwyDCTxK6W7Ppzp4S1MsW3cmqugdfBsem9NYjSfCFW+acmpX/oGOpcYz0
kXfjhpsp1grJfKU+hZfuwrb7avtzmUl+7rkyJAaFWHb5HDLDUqR7j9N/hqueh6bZyd46+9l4MAqg
eUChdtj4ea1R+q1zJ6vYChdTeme2YutPJOpkGUZclqR7P7SolTENB2HyXumBjn9Ux12EA8kxhms8
+OeI7me2xx5dYJhrKJL0HvFt7MOco9bJtIup5fuJQOEgu61Iom0LIo+FA3dLFLselYwERef1aBNJ
dguQ1UJIgq7Adpgwk4tIyB6W89Yez2EDcaKhQszM+33ojgQHnXIdsZcNeWlWfvSgWRK+QHZfBS13
w/Zx9JIPUSavfcbm0KCAEiSTXNFHcY2x6cSddmtTF1iJ7/HQgrZKbjIHHGjI7jrKXmMw3nEEdaY0
mdr1rGRsf3a5LOUQAppAXKpaHkY3uAShAoGYEUagf2sAYC9H48RaAuS4B/Seh2VtmQvpQ2dQ9nDs
Bky9oeNfpfCeAl6lB8tsIX8AHeYB37O15ypXkahv2cF1+QFHRnsYKvFuiQTMVdBsYg/HLznAVZTH
N4bfv5aFccEz76wsHVvc6IdrUAXjOgVASH1XF11UnR/1CS+bsI2HFFkG4vdwizP7anSYTJoiOlvQ
MvhDJN9TcAgLilk/JPvfyStfGg21WvO91zCKymXi5S8MxSQ+B3zcFLXufcTWC6kZ0nqDU++Rsg+J
X5wlJ4PRjvti/nnZ8XM+p/kbsIZu2RWRuUfVOda5vgqayL1mHlHENDT3oZGd/NDfCgWoEs9qyJFB
ZUBjA7OlHaLhPSr2vZdtwH9ydgZWfRCR1lGxYB+ChsW2W9RvbleEBFGAKDiNPKMx0OXYZ9QKm+Yi
IfGzEEl/Qgn0YnyA1LMGGfulFkAGpzZP0rLNz6GaPusqo/XGhXUe2fP8Egf3QRqeY2pQPpOWqKtG
+TeyInxnqk86HjkyMD6i0nQPAxZsa+Ewvy06QU1y2+TawXTFLe4y+LwNKXyZnv818v8Y+ef1yj8f
+c/v32TxD+7b82f9Pu5jW3AZpNnUYJ7z/sCUO19sAYF8voSzpvEcrrq/3bfFF27ZaE6oAL8GPn66
bxOs9U1BKv/HXfxvsQH5Fv5y3yZKbzj812xkB77YX+/bRTJ6nCVEJDHbwtyGOfdVs+E3JMZRL9JH
6v0euVXRPj0OL6GhsZCnl1pO0wW28bW26M8WmGYf7ZT7mKPGs2kUtImU4Dq5VzAxUlKS7S07xwZT
sQaPerEPBxlsBx2/m54oRCycEUUgY6TK8JFXrsmNLz1FNplVGeguIRAR7Hotvcim3/JrYweb0Cyr
EdPkyIYGOJK097MZycMbZRDZq1Ukz1GV3FkK5C00Zf8gKapEDhtFQg+Uu9VDqMpD6H7FixVAZhK4
YwlTd0F9IwvvXg7OXUmehKKNjGdnxNjxbA8u9QVtYj1h0XRXSPjRMqxHHzG6g1JXl9mqBSVq5N4u
hHbsIh+S+1pHJsdCZQ73vASov0HFRnD0YvVUzqIFQiRd60+xaLYmAqXbqrn4m+sx0qWLhFkgZYay
W8VV9KKQOFmR3+P3wdwwq586Mqg/66Eo14TqkUjHAHMCkqmypnI2aNo7iAcB5FaUVT9nFx/NaqtE
du1n/VXNSmzRgT3u1EPfJV8DVY3rANHWpEMJJG3/RpXUAZ71U9m6d6WbnarUu5SV931E/o1nv58A
cR1K62WYFWI5WdPSL/R7Syu+psqGxhdVHM8mue9eu2hzcZBWe1vup/FtVqdi01U4GOhEDtaYK6uV
aVBXT5vEM897MuUGXps2pP3R39J6vPaKHDsE3oilljXcCi1Y7551ab3qWXUNZZQNIPE60O9cu0z3
fGd4lFs3u2Oz5B8mVkx5TdIyHLDkhJ58bYIH3YeVgNXuJL30eQbuYAAK78bUlI92VJLmTk5Dosq1
Ew4ZdGSDPZqNca6pICY2tXNqSswQDTflHazqac+lql3VuvjGBd5ZitK46pK5JSt0OJLTruXKqXOV
LIriZoxgK8vKH89+ObEQTTFOYv+65qU6EAjnL8U304uRSVePIbqXFrF6o1t0CQBeCEWsUGojWhFh
ZmsEtSvv0xsKvFZuqK+DYFrDctzZCOZspWlrV6vG4RlHo2WLmc3rWixgvYcAPy3jNrlr6vaREDqe
r5y5DPTwQcfvPuDuWeJGuWZx/55qFIhWcf0SdchxGo1eBFKnE/6EhqUK7WlMjoldvoMSuCiAmLwe
QXz75r2E85Q59dHtsi0NYRu7Mp8pC7rWSOnsvFjGsJN0qd2xA/humuQWH92OIwU4unHFV+SwkQye
0AS2fdTtYy2/+MZdy30jx8xrYOql6guSELZXbfb8trMrBRNwiRm4wRTczu7gsZBv0QB42sU43CX6
fTQ7iQ1nulS6GR6d2WXsJfKmCBQVPNTweLMTGeTb2jPrjZo9yubsVhazbzmfbbhRk+Flxpa0xdg1
V9GW4KF9RrBCOO+uKV9s7lYFF8oGc7STB9zdRQ79qUHfl3p5kSmUgdqDCxrN/upSeu96BPwNlPLK
xoItHIZvxxm+CqmxR+mzLZYDODp4TThm4IJy5YhnU3eDuzulOowhKHmCOfXijaVYW4Be6cXF5GPG
Wbtym2JtC4z4knKcKR6XLNfvRpVeBm0gEx9pGqN2f07i7KRjPvdnF7pNLc44+9JF0r5idPqOxIih
sTa+xY4f4jHqgJHy2sDgbrBj7zG856I8jh3FEBo8bwzxqku+mbNDHnrdgU6FD4V1vnP7tY8Juhva
XWEqfWvRcLXssNuHyTCtqDU6BX7+oet6c7IMrMrgFGSCmAxdP8C7X6VzXBE3v4er35mcVYbLX5Pp
sWRKp+OVxBk5AIjUG0ELeTAHBFjL3vRE2daC7EASxXufLEFEZfdJpzvntpyDBsigd0BdqI3yGrnM
eiaTOZbgzAGFmKSCKFwmhwJgHbOKSZShINPAPIfndWwea9IOYUTsoZ4DEGgXCzGV77n53PgZI7rn
XG27u+sITriML9YYhlzrkqfaHb+1k3kf16T41EgMzWfEcPTg4PPwIJbQvvqkJ2dHsHnKR34DdWvv
zTT+tEQINq+9JmHzXqXDKbFMAHdVuYgzZ8+BCACRaLLePVdYTfc2xvu0NXHOetG215wjWk/JhDMN
d0NVPtgygKJW72ydSltgnJ+UO9IaLO1hgdME9EgK7svsLPjWCGPuMHzTbO04Vj7lVniWydRQWvwg
vWEr2/K+xZG9cNpoL+r4HEjv1hMcN7qon2U/O1L1dB1E1YdsPcoWpHWNE/NltCcyLfVTT7pyHL6r
bHrRArXDKP59rNHVlRVdgA4T4Bmyg2q8Yy8bg0McaZ76BZrEclbDrfNsNvVNMBP9Q9D++cz4Bwwy
rIaZ+88uHYZV39ylKUOVMbcDKG+8nQF1W3yupE4JBC60vviOuLPKNBKu/dw1kFI6kFE+0NcT0zF1
BC21BLoCDDbNRQVttEpFdHISY2sM6joM5b0tC7HqqdTuYd91Fr0HfdJQJzjpDxaVCKGpHgIqErBK
AgAraX0z7F2o0aLQTrBzsukbNsKG3WfAxpF7j9k7RxXTwWA4lWDLH+EFjpJNZ7W3TVpc1ICFZJLB
xe2HXTJ3OoA++ebPLQ/gOIu94Am20OL4tXJo3MAI/Uo9kkn3Z/wBeJGH9twc4fXWbTJ3SYzCA9mY
brnOUk3AFnQNVLGgimHkW+ThHFBKYeMxFHNLRUNdhT33Vkxzg4Vm1CAMkjBd2XPHRUXZBZGYTUr5
hRmFz+PchhFQiwFcCJmkSz9TvV2OTX7ow+qtHJsPrAJc4OjUqOdyjUqkTyHR9mVN70ZH/wast7U1
F3IomjnYHlDRwZ+e+kludigsyVzjAY/fXyZY18u54sPzq7uOzo84jo4FIfnG51flZiRbssTBz4hl
vIzUY8RNUGUos8S9lvZQqS3Gff1V+Si5Y5ccx8EN13X8PDJHJkbLi2c+6Zm6VrJ1Nwh2404NuFwM
jLg8VwOfv2icc9XjF9e3+nfPsR60hpABy3nt1q1JLBNR8hepFyDrOqHFG4LsfxZrGUeep7PmyUee
XjRT4kPl1J6IbqGCNKt0bPkKlo/fh53bzkKMiHOw1R78oWNhI2dYaaR2mMavYxQAkZ/0ckW79Qd+
l+j/YMv78A+bkf+vLadygViZ/xEYvq3y9+zPM98fn/fr0Gd9YbvLfsWxXeEQXfppx8IOl9wkmxIM
fzrL1T9GPpYoPMP92R04r4t/Y6fNsUn6C4Qw3F+4an8nNklI4q8DH+F/vpCtg00zsSrOH/+JPoJZ
vw00+i1WLZhQ9odA/OroOjiw390jZVGnvCIRHAL5SSaXiYe4ERYBGLVkkAvCyAahZKCpPPca+zCn
/EKzCKFS9k8JMHM7SvVtqhs30HRPvB0eesM9WyE+lMI6taShtZRYNAjm28R3b4euuktEeAOg8VTU
1YfZy21T6oeSDLVGEn3JA/vr0GevFC6eVeWdHR6BEcnsjIS2Pke10V9WIWSjxuYaKqZNPkCAx/w7
rzROLisKtrfakns5j2fc6YjFrWXfTTDXqmpc+XNOnHxjRG68YC1ZzEVT0thpIj+jruJdM9cVykyf
wzeBD4GE2t1YrYSC0u47g8jgQz+e+865mciuu0B7Mex/0gS5QBSzaGytLbXMhEedMpY4EvC9Thmx
cZQRCC44TJyoKxXz+8RTZttEXMjRu/G7N8fqoyLHjWlwJTCX2vRA3BYxmDW713yAI71WgYPsKlrn
olIM7qZzU+b4KJP+CSjBtaqiU07EHaeUdyLE+0SB1cYsR/pCByT1uNn6RfZN+vZNm/Vf+yg9amXj
HrmFp6HamfAOFp7rGLewScJ35ZZvQW4QHvQlAc2pqq0Ho0AdNVVArj6mk9YV8nasC4/sbOPsqxwr
qKhb59RZZNJaoe3o5lbM7AMPvIbzbRQv40T61fMxQGHP3CYeRoFMFJsBY9FD3pv6Z9FKOgwdOTv8
QClTpWXUdIyF/BnohCL6QCWiDtRrGDb+QE9I2G4ATMzTTomvFK+4jHbtj6B77bhnTLAUlhCC7/30
6s0hFMLxOWfk27+EsF+EMPLV/1wI27bZx/d/yJTk0349FBG1bJyNPqFy00H2+uNUdL+AY9KpwiBr
Pjde/OlYtCEouQBTTFjwP6LmPx2MUExcDygxOS+2g3/nYISB8teDkS/ACWvpwjUwYlt/8U0nrguz
p0Zuzt1gXGU2Lkkn7UJcC6SGjUJkZ6exDi1nyM7s0K2UdcjkbaCjTbjVsKq6iCavcZ1ZWvysO8Gw
Ni1IZgntH0fNGrBjz7H0JAh2HnAUc/TCq0kN5TAdIIpNB0/kHG2GPhHgKd713sjWY1GR1ambx5h8
8C6gYLLN5c7r+2LFzkJtJa4ZUn27jovtY1aG46PWLoKh2SYp1V2i7m/ICkVbG/TKo2YSdjG96eQw
Yq9GZJvlxBIVw0dmn9wYCUsvx7uqssVZRHF9NeWTnew1Zct39noZBqCUnJ6WIEeb3WOdNQ2CDYko
gIaJZY0XmiSsbc62CgQbwamwXgZ54W8D/w6xazoQ+IWOn9Y1m2ByDDAoibeV5av0kdZHQz6WBZXD
oogvDeDBQ17wtg7jpd9U4abutE8f2+s9kOd23Ta44IJmlSOIlINv7IADuovJZuEkDS7K1HKPTaUd
vbJWpzKfzcUdyH4aQmgObJ2PLOm5uLPqX1l+0G9SgzWza7CrhmztHb2aFJ5SwDBpKn9rmzo+AQeE
vq28Tw7kvS77dpu4Fv5L0W/ZY96zPj+PqQPoETM+Ba7GQpU0rco6TTcepstdaOJ37wO2zeiY4zKk
qDVPBIV3sJBxSPs3eavRMF6N0ZsC5s2y51E6RIgU4E0XJRWDNeafMAke/YS8a9GgKeg51mKUfcvu
73H32sRPYxQyKuVE+hLQ0LIzmZZYTBr4lDTkLnK7A4yTC1tCVmUKiKGdwSZVCilNwwWM2xMWNa8C
wmYQagaqGse2OqmgELdJnl1IGzo7YzIPqQlQB8j/XHCnr0kRguF2er4c8lvXaPFFpAajoUzHtQX4
EXAhjTOpA1oBX0mxoQOJeKyh62enHeJj1yNUzf802On3KA++Zk1A6aQBGXL0PruiJRWvheC2efLS
0FbrPC0KxKS1JHlg5QfHbJ2Vrago9tvgzVa8bIL9YAhogjab2UMHgebw4//9+J8gYZbOvbbZWJVt
7zJNLtrpmg3ODbuj+D4w0Uv0XvFaKN2vQ4ABKrZwcYd5ee+kpn6J8uHN1VO21KEzLpKIRLIfdJI8
Vmld6kTSHky11DQ7vyXVAvA/iXPyHpUdce2hrfV7qiKuLjHURdoMztKZ3HE/NO7TBDFwqQ3ebTXW
9XZwYmuDGdXdhHo9LCL7OCUmgJ0uM1dF6dkbId1pg3d0ZTSldyiLtIA5DwTB0yLjMOWOfggbGhaj
sKcKZ4whOeJ6WTYmMYJJxDRfzzQHBWzGr24i8v9HF7PJBifLsIjfO5xApylEjOCFufc8RfGiOc//
pB2wZ/Nkl6KsYAy11r1oxrWbhDheYdt7rescCeEpz4XLQHekSThzJa2CeqyIpula9gNINAipboO1
pTXzdCvdqn+BB9FN7qcdDtYWZq3cNA1DT2X4wP5Ti8KYyqYxjqO1iuOjlgmagjJwOqn+8Z/76P7T
2PNPk1N/osf818DF/I4w8/79Zzxe8/h//c8/jT5/+tRfn/PmlxlWxgwsdN80f+y1fnWY6fNYZHC7
xyYGvdn7Cb/IlCMcAY/MnSGMfxmAdGyyrk44FG+q8P4WfhGn7V+e81ALCWkBj/G4irBLmw2wPw1A
oh4JcSUwCwhTp0+slDULeH6x81qW+UHLe6BkjUCcaIsDfZ0ongidjs5ApnZhItwpD1NOreU7oleL
iSpHPA0fHSp6WIUrjx5oNjjrkGBBA8i115IDdlDKSeIJNkvHQ9teoTmDz7cffRWv80AdRl3cx8I/
G8p4ELHOTTiwHg1TbBsNYHsU4CwPX1sv2phJdtULbVt7OGKHOXqLTyzXoC9INk9vdWEfMcORZi1P
WOw2LIupfinXbdATNUhOmj/t8pgKXeLdV7fVvgPup1qus+aSDuLW1oL6mM8gUSSay3UYwcD3vHVS
+euySh8bn+KNQRy10eJHIsCdVGdAV6/k7W9SJZ+MZHxhg8G+AgWefo++UXed7HHyZaP3UJM3Huda
rnHot3lC7ZhPHYZMd87YIAuN/o3dmNOiDAZoJbUlXgI05w1lzf0acZH4bqs9Kq2C0KJhS0m8F4J0
07oLqAhJRnrnLS1zXpoQhprh3ZejdhcFYldZ7jELs2MUBedeVtlCOo9RMZ6rLNkO5KjMNttVtlzZ
5WAuLaPJV51n7k2rXWcccZWSh6mrTlGFMZkoUJD1lxTbHjeYdTW08dKu3EvU2mePgkgvzi6ylrtI
5JdOpyvND/Lvek0TljYtRCYp7ZnDW9GOgsW9WwQvpV0+RIyV8SjPPK0RmejBSFLITw0OCrTHiEWN
jK6N5WzdOiHFXiCOQ8ME1FeY3W0gSdp0WEQc4q7k1u67Tov2DXFlZ0TtwhhjYTJfRD2rv7o6e31M
aSdtHgvLrJ77MjmmLYPUxCusUYJH7FCgzWohRTF9d297bKFoFADhEi/5b0L4IlflFbl/BfE/x/ih
mGTm/aRv5KDeiZuVOJgV3UP9wI8ktbe26s9pNt7k803YcyP1psritSn9E/EgUgc2i2CjFWB+dWdv
Qte8TlV2qBk9l7njHB2bqHQ51DVKXfxYMEYizFvf0lKRrnfPpsaaucJZuMx0FLFwrHiYESnnUmt9
ZuO0q10CMpWBmUK6jbMk8vHC62vTpdY9FI9oUyONLKJRnbS6WmuhEa8IPa4cLStXUPMUhrRkuDDG
flUWPfW9Od3WcsCV1kERrxX2oKloLilbggIpZOnXRbIsffsNWtHeTcuHIDLWAzWy6LikfZo0xQ02
EnqivFRFN2Zrr0L+rBb9OpT7gnIiHxcsilbzln1tG8swnQtvIUweJ802cKlQoSzxaHsZfz8EjeQu
J3/3Agh25oqBJaoSmmBpcGBy6dYsYcvFVDafEN43/NRHAeF5hQMU7HdBbKXuw20QhZ/stV88uAi6
7mD9CledS+l9memnNnJPgyluRDBcULmWPt2mldneGrK92Lb2OZXeY2zOTiXH+Bp47WcDmy4EhQwK
Rh6HRnu3wP3QgMqyBcQ6AICbjqsh/nQD3R1+oYLhl9XttnRAEeZELIn5VxuXtoopY4nQTysr5e7i
D9qOICGwuKy5iqEjbGDY5HyGO73OyIRnE1U04bYbmxfO2yMX0WQ1KvxfKqLMyk/Pk+YeFRo5IRjz
vVHV4xCqG21s1iZY6y4fz65k36JoZwL9vK6KTF9OipdAPcm11Gzo/MaHFrd3TWDtWL/wqqEfxVAf
6ZyuMWxyd4JOPQcSrt9py6gpbowwudNsh0APu6t14hjPucnLqUB2gTQ2cUBWRNp411p1+oSVaS4d
b795joJz13KKIEQJGb1qmnkoBo+9Fl6voYiepBHXiygMxKJwkLzgDn0jE7QZ3OTEmv3Fclp/mwTa
u7T6Vzoargnb1CV7vNc6y8tNABaDC1VKYC6T18FTr+wWPsOJHKUSuTxbteQxxlWWE5mJK3Ctb3aS
HnESY+aISZD1/oSNEVKYRf14R61OZMrbavDvg87Z+U5y31HYYnDhxGWW8T6Kkhuj11+UXcu10cmD
2bsQhsOXys47VESgC6N9QwHLCgzbkZkcW4mKqL7qUeykXgxY+KhWNJ1tKDjTwvbOnkoSlYqlfnTX
43jWInnKInuT2bQgOOIwjiQICiJz27xu3420W8PxxnUb5E9YSljJzXaRsJ8uuTsewjY4hPn4TJIi
fnJy/2vbSMlD0WS2Q4sKczJtvAzoSaG7uiKx6hUH251YPs82WtysUwGs1ODx1he7yTPWXi5vPEKK
S8igrAzKwFqZg+SNO8i7UjhrvxA5FOIAhBxJYmVoL63oli5WgyEG5S6VRc+ON2Nd/P62VsaTR/eA
XvKckVKwup+e3UC+S9v9sAC95zUtwDU8htBpQDnAWpVHKx8ojfQise86J+D86o2p4u+AM7XRrHWf
WatecbL4vrptBKEXeARL6EXTXaYP+sEPiLUs6kGX3wbhqm0y1AyUoo+OMcmZteuO+lfJSEI1emD6
NwFtkTljzZiuvCFIvrntj6dL49z2eLXJK6o17bUrGczX/qrB9hO6L5Uhn1VrUJEm8fCEo7d2xyBc
hWX23pBR84rhiPGd0Tnvv8IQZOMe7FSY4SENqQMPdn41kpJtOnMTeKyAI03Eq8nqEETMS9Tk91JH
gKFBcufGoXFPbzi+I91kbUVU7txIdTKSDGNgoRbuQG9pKpNVih3ApPSStavOVa7fIJjcCk3US126
4Z2rtXBwYriTDDR+uuSupu9hi8zIuQA6Q9yzcNHGcFgCF6vXgpUlQmsc3vOKdpjSZ/+Py9xSs68j
6tuDT8vD7JX2UfY6vIcKm4Vqv9MI4q8zuyZt+PcHmv/HNjS/xPD+XU/eTVh9/7cJGPGHI8/54qCB
z3AEW0eM5AO/jif2F9syfVYmNq03Fma4P7YzjCc08prwl6m1QpXhQ3/IkA6yJn00JGSw0pFo+Q3s
ef2F+s6Qx2gIEvTXf/5vUJKuOC2a+n/8dwIbfxlPrDkaaJCpYWdHmG8uyvx5PKmqOJy8EVKQUs3e
ZH295cq+bVoMtOacQRBzGoH66nQdzgmFxuChOmKgXfLNiDU2HH/PynsjSDXkmTJPQdNgcVPxczJn
v+cIBDqHuALhssClmCcLj3a/zLPUBDob9/f5qM0FKFsRsw+hxBxwzA7IwyasrG3Rq/LUAI8HzpLg
sI5eLfhBIGXLB9OlZm6yaUknDId/rKIlrJRb3lmPxtyoLududUaCVUjZunLBMzFP1fAnk20T9t4G
EDwVGnNLu6/T3NFmMd4WrbhlBGIqoM89ptcdyexBC8tx3RrygdK6VcpK3y3FyZwr4Zsg34z5OG+2
SdZNxRYeFflaPX8CW/19KBOy6/TLDxYtmrZyripzTu5cQu9klrFtICvMD/dd4jsvqU5lvR+NX22I
WHrh0kFLq31Iu30519wbHYX3iSkuWtS/4bt9MSkqzyPce6RNUAAb2z9K1V5LN1/68WBAHcP9G1sR
tLY+ArUTmfMjz1c9LRIROaeJHdzBwxy9oKdk2+nepk34WGLC8bL6pj3qGY8dqRIERK6X3mjc9DGN
nUZDcDpO8HoJywlWfLcxvrB6WNupSyKIiwej5yjL1F3obQ5GbeYUmW66EpUFRZQCwNXATZlX1sTx
2OEvnkgqteqU8fMuDJNvDQRRiDGh8baGaPZVo92m9M75GWTTaMpvYaCu8jY8caCpdQF6Sg7Nna65
7lcdSS2Ma3ctPX4IP/A4Sf83e+e1YzuSZudXEXQtNhj0BEa62N6k93luiLT0LmiDr6FX0oPpi6Oa
7jo93T1dAgTMALoqVBWOyb3JiN+s9S258VIhTmPgvxnINewSkYrWbyRayTGFNC0FRiUUqcexkXDN
6DwWrf9oEYLERgNaY3kB41DbM4EE3ZOKyG1EPtLWfJtaT2IJOBNmQSnHx+U05qc1WbD5QRkzyEB0
Ze1LZUvCL4unDEAf9/eVtKoHfCYvs5azDAg5kLdIZC621ruIn8oXrYFBzDqDoEMXEyGQiWdq1hbJ
TJ2h6A7n7sETqA07t4FmjL6mR2cTdF6Ez4PsGS3BcdHiUMbeIjTZKHjqzBWg/sw2CX/qIkfF08TD
DXZQbBP5d4/KZzCoNmot/ElqzGQCLZBbIOjzUAdNDj6QlhGdUmgJLMe5h0L+maIoWtwCXGtP7EnP
XrNlht/Ccc000NUDISUgvFr5uFsgvtYpg2MbBqwNCzaECTsUpAC1GhNryOJMnCWCE++uKYBzlaCm
jaW+IgeOUOyM9nghCJyZQYnWJ6OGXMmFYLdouSOC+zHy1a0Xja8JqZkE3maviBkffdC2EbjDjJjd
dTNiqM1ZABrSekrB4boeuBfjJyEXVO5Ecexpdm6lKbrZZOBcgokYiumFA3FgKAxzN9H03cYW53aJ
abcB8xYq/cg1qLdGCEwlJzeDpvgqQrAPfL1inTCHjjXrFx7FxvGZ9PYqKFAdYq312gxEBbuVyHZf
6VpJFc+pU8EID5BYIhHd95ovLEEvOkZ87uAtEXXG1lkjmFINY5pNInmhM5lT9Z3VRBxNJOicnQih
Jd3SgLcQa4hjlJDXO5fGNHIu46mcd+TZQusQGMLyuWBMG5bbGUVa3nnprh0Sqo0u/Ejc+OhErMRF
ZnzOGP52i2sTZGZ4Fk1Qmr5QKSdgRlF0+l7U723cC6o3v42e6bwVXgwm0pe48av9XM68Bv7sH91l
ui867VSsRwLO3Lm8rQsjPsqcLtx3sOLx/fJ4l/gjrN66CitZX9Mg4THEv8YLmyWY8pzMO8SVDU2E
GMxqHoPNglCmP5cTMhzEMdF1xuCdu6UnZsN6DEv7gjPxSri42QrvsCwC6ldJFOe0OIBi/XbL1/cg
m+6DM2in8cNz3B/GRJwlBAWX8Nk9JCLm2U6MuGp6HWDibRdEFWvTSu6r3Kw2S8qrUcmHsRGPTQyF
1xzuDW/Zj216G6joZiYI3lPhXdQAB1UFoFfs1GKAH+YbLx4Jcqsx7I4i0aMmh4SzsYO64sXDLZEl
UB8bnS3OWW6rgQSuQV2l+EKDrPwcpvGVUFm2FmZpQ2yXjzVkUq4ga3yucu/FjOK3Iglob7ME/Irj
/LBNTEGCR2Q1Tn634lK+mWakf7UImbOTIxJ3xZ3WjofRcFN5Fa9EGrw3Ut4vQ1ZyBFXbsh8RY8Qp
M0d50cPjxaDIgsFenpq2fyXP8bknYSQYuxfXx51J2sIFZqtLuyiyY1PL4AoecJxtbWmGl/lPf9/M
gfkQhPn4MGv7X6mNgIG2BEptDuQH6E++Ngw2OAfZ9D6TCWtuzExseN9/TDMCYP1xEtcWRgkBeO5T
jxdxIrOXuw7gTIzMJD73JkS9YeaJn/Ezhvgae6hmC6TDFXyEa8szzpG2QPZ4IRWeyDFTd5M2SZa4
JWs1vQcpE1BDGyn5xRyHCKyTIEGPgv0IhsZSrhoXq2MeEYSaci4r7dB0erphLJuD6vrN/6+2MX2E
Ab6Uv7/439TvX8XfqLf1r/qzGAoJlOdqz4rlmLpA/teC28JWjqYJKRSedDJJ0CL9qxyKyBOBEx3g
hYlFBRr17wtufOGeSy1uOf9HK/VXBfY/Krh/Zj794jhHCWD5TkhLqTVbnm4Ufl9wRx52QYdnjzvG
qi5nZsNsMtMMDKE1mW9VmQ/rSFrXbgzVAUnrvBExbM/MYHZsejVARK+ar4KgtoxNMxabYpxP/MiX
hEIeumLZl2P+NnXZF/vS11AGq9KOTrlsTBv5autep0H6KRz/Zg7tH46feiQ1juY+QXRNtgOYYvWa
RPl9ZxnLBmHhsjIt/dos5gWLyucsAjDc2joSria4PM8rwpNb65An1W6JCb1lR2uS/tgac3zpeOoD
zjCNLpqstZHzKvW2NlSOPqnCMfz1GjMJ+lI4UZLpWyO6TUWJHoXJPRfyW5dYt7UYkC/TEKOCJwrO
CHp7EwwoTYfF1zl88I7E59BKfjj8gSs42G8kUfygobmIyoLRil8piFAWiwEqCntqk61bVnu/qvFN
Zjt/xCQdDvZdo7KYD3ZksYhhUmBJPeAxJCVjrG6mqkDfhOlSTYRvkB/J4P4HGYrgogpQ/3lU7dQs
vZtMsCoPXSEOTcu0alpgLPthRihM3HoroO2cZ8byhOU3PlfBF3+XZE1GtUFFjPHaWsjZ7XH65MK8
cclszp3hk8/G2Q95/QkmE8dhXhxVpJCZsTmZfIL8jOCBw+V+CUuwJQxGdxOqKiTZ5Usb1DdidsOn
xBxe+yo4SZbit13oPI10d9gFpyt86PGmFdlnWaknVwpj21rttZWNAMjQ7G1kyCy1E8Nbi7B/Ws1N
gZc1CLUP5VgNDoEtdkjZ40lxORvCu7cA7V+4MsMxbNqIPvjlKNxhSln0lAySqXzL57boYPVXdred
uwETNIOL3dwyny56JMayIIA3ye0PN8SpOKKApg0kBDju4wpvLFxSJfjMm9HCHz2jJvc7g+Cf0cZW
zahyyWvnIPFzYORqCa6MMYwHfnyey9hdUTx5B9nWwBrGGq9Jccb5K6kjLbUVCCJ/0BDWe+ar0cFP
RiBXGeGCJZ561yK2puF2WpnZXIBNxWtt6251FG4AQaY9B17vXY+dcRxMpqGV46wCx8fwXjSbRgJD
mSfp7GMyFh7aMo7PQZxU+8ElaUyo6LpANs68loFQlQH1LNGtSWH2ZE9PlwmQdqcaD2gS9thpuXJD
9kLMzUuU8t2cbBxcw7u+Cd8cL936fjl9kXigARMAxGLsOZediSszqQ3yasbkbIu23aRkDa3yEaGj
nx3Nyd9Ejfjg1GBMaQTUkLyidgIRULkKBvx4kIHa525zDA313FWqRwrMnt5Nvsm8f7RL/w5r3B6/
G7ybNrlYCsTWQzgSxpCPVEg9WClXHXP2n21sv/UV9pgKBci8NIektOGIlSi0A3k32+K2VRM7KLQD
wm73FjDGYhjWc1Le+2P2isOX9QE0urS8RORzXhq1Q5n8IV2iYVrsd0k2X3eW9R6Ewx4IIKmaI6G3
gQGRqz34yrmq3LRCLx1fd37zGQN8j4cCcnO1bYxG4okZb+uQjZ9hcxJNfX1M8vnb9+IdV/2luQzn
noA70df3VlHtDbNLdikdLYuF2IOQ32KqamCYKX86BylrroQhvknaU0n3t0EKOcHaB1YzJtK6GHwJ
A2G8Mb3hNvLh+Q7soqS6qfxkGzHadk3/pkahrgxcPxHPoYuCAZrDLs36W9Q8ew6Xe1MCp4+NvVWF
3zDoJ+KJ7GMbskDM85z/E5rHOgPG1fS7tpTvcTd/yDI/om370WKLQyvTUwBbyLdLXtBwOk5FCszN
Cr/qeOFxQjCxIfj4e0GRv5/sco9eyDwy3w/2EEp2ScA9APPkVjWQ6TgCKdALx91LVkBr7jjCNaP3
IU5voml4YKZ83TUL/I8kMLdTagWEpAzPquIISRP5wwPRXI40BCqcs13nqP4SX/hskrk5+3D4p+rR
9eJkazHVxcbW2XcTWKtbVzukRSu64x+vrf6uouIX3cXfnnf+RxZduFQ9f7++ui7e0uqfSJ/Tv8tv
9ZbzJ8v1LEQWvuXaGPD+XG7ZfyJZDlaP1p+7LrinX8qtwGQWii6cYG9fIAT5y3zTgwYU0KRgO/6j
8gtejH8z3/SwPaPoFIgwwPz8lfwiQSHh2iNmzAlRY6OBFpGpy44if5UpGIjgXNm4HaZ+3y/Lwcmh
tKAWtuFh1DaWk9GLPnDn7eo8uoXsd2hYdoy5e+XSm7egWCgS4qY8jT/Xmp/jzaxpG4TQLKRgOTsX
KGHWkbZrchNxDcqYOZF0q2PTBez1newCM9qzIcQDy4T7CHA6F5NYuTEnbIg8wZytRySCwNAS9dj1
9sHxqaISKAYGFtBEbSxJ4eLMtJS1yE7Ek7BUgeWsPozAvBXduO3i8eDxsrPR2AfZcmuPzXs1/zBn
FJPDANQESiZcEgRsFBclkAqWUXBohryHYmTbDqMLlF4A1ZLDJK7jCWaJ79/Y5vySxQGNLJuIbZxR
bo3JfRm1ryGYJMko0eswxqXBocyd14rFryOxw6pwbxnkWtf8nTIELR7bJ1lDPpkuGju6dtvhaXTa
pzJx7mThraX35UIW8L1g7/pUuh7LUzeqV2bdbLqs3XZLs/ZqknRCtFoZJcJsJm+QQh/zCRRGs7dT
cmW8hnzvKb7PjWhXkzOxwA5mWE05VTPMbe3logkELsvGf5UWf2azbGZZoeqssiNUiK3J7DNqw1ev
7/cznHd/sK5Y/F3hi906RkqgX7XJGn7Y5EfnnuywvPG561IrflDzZxdNW8s5W4z2mvBkV9Hay5KT
zxin8fJ9nuZENpWUDUQxQLgAl2uuk1ydeoHdeO7FsSqwnXmodFc+ZtoVu71jZYL07epVU4XJk3Cb
23oIL6K0+iAuROyXjmZ+WfqTlX0PtTjjEdizULptQufZrYZ7ouYKhLndoS3D/rJL3HGDE+zchstd
S6jhiE6VeTSGAQ9Jsjevx5EAORWcMuV/tz1UNuIRe3HCJ6WteisWvSQLpc7LTJwiMk5WXAyeyz6+
zxhMY1DT8kuwk6tU5zGaBKus/QARsYthQ2c2joQ3kmV1BUWPOEf4Rtm6J+LRsPYDdjgWtnsopUQk
ToOD4E/nQuY6IVKSbLOzdWpkN1hPEzGSUQfJlJi+Zg1dM3uNzMVdFW1GyzCKLSrrfVunxPI5j+TB
HxveyqhlzeC0Z0wduwFMh2tk64w7fjDF5QhuJbJmyLWMi8APQFoGnwqPg8XMte2TG5JUIfpIZuL9
RUlJnFTzWrYx+qmCIReFjZju2GNc2IbYeCwj+BjWNrvijESKOO7XQvobk3kD+RBzqCcqGfvbZb9U
SttW8cI2fCy9PFuNvbOH/CqZrL3qPuU8kxPonkpj3LctxvUwhYwTALglwdvB7qs6B9uHcQGIdeNQ
eDKHfayHV7tYQAIyFLdeFqIQ5xmxJBpi1hz0Kpb35EClYhlF6bxvumRbipFExWiLMYLTbh9anwmB
NrP/jpUH0122iot39uCk5730wbTueCKRPK8B5ZxwmQHJf3RmhTE33REvAzyHhssorssgXjcMsZY8
WhsJBzClE3Y9sknKdTYg0BiBUo8KFfEcbAbYASObaoKUyHChAtNKLprpnJW99dS38BzIadQVZhUl
sLDE45ACEmz5ravqrJ0YCIsZ47vudTO7hwXjsj+Yq9FVVx40nBpNNuLv9czQiN+lvrIYubI+PVdW
fjfX5lVZYZvsxk0SGAcPCaqDWf0RoR/ntDu/IhbY9Cg6uvQ4KdA/YBmv7DG9oMI/RbLHQdwZ2dbp
IeFUzIwUG3tj7hA61VtZ8Pou7mmaI4d2RyEAUHutUW0aogdtoESLOUK8nlAt+3sGkeQfNHs2MrsC
gpHeHSuIRk3FFoxGXunYjsm+7PF/tvOCGEIgVv1IUKuY2TO26R0z0i29/bYuu0se9+cUcNJUkIra
cgepS7yYOye8mAv5LJj1LQSvwBtABEUEimUj/uBTrsvqKGAyJfWD69L+Wdlhwe3cLgZVXXaVOLR+
zCVH5Z1KEew6wE6JlZ2yYp+iBJCWsV10ovzcbnjP7goXkDAs2qaNdqq9tdm2OQ0a4dxljnizpOaR
T5DAtfQF4DVKYLgeI1ZFOa/y5DrJDLQP5cYGNTUY04K1E4tswIBe4zYMwanIcaoq+3IJv2GmHcAX
bZIRE6v0SJVmpiqRaqkeq1m/g6c/rf542fi3C8Jfasbn/0TRjn8W3Pr/UKt7+irit/Htv/y7qcX6
t/lz3SjYBAg8OKjs0NsywfttMW7/yUaAC0fL1mzGvy4cyUIIEegyRmNa+MtiHDMlo78QpCNBFcSw
/4E5nev/jcIR55Bew9NJuHgrf53TFUT2jpNrcbipNnkEF8J8y0gD0vGW7oA/p0ThxRjCZuGcmHJV
ebCTek1RijPrW6IEXKycPBDDy1CodNRNmr5kJzkgpgAkk21QuTVNRmcejodMc5s8DXDSJKe06Akk
Be6EzzhfCdgL9pROK0cToLKyZBXPwC2h9ZnTBrxVz0oewQ56yyWKt0YXZsdE4Q4wi4uO0LQ8YJ8S
WW17bqv3wZ9uJSQqt5FnqRrQVBpSZZgaWGFhN9aifBOS1VSE6xyyFZFgp8JJ+mOooVezSzZPUi9H
SFvoJTUaq2oo7lroFBHULHfJDWLY+5cKnpar4o9CA7akWX4xykfuC3urkZSxETSunmq0mMFzBY54
6EZ4ajXkrtJzk6tCw7zGnLJu0XyvhdthVqzQJDZHCwZYCgtMCdbKmPWhVzr9bmG9jMnqzdUAsdLI
TwKimGIT3iTtXahRY6aGji09LAGNIWvgkSVuiAB7uZeQLFtgZY2mli2aX6YDB3qAZobdbOPGvpgA
nRXg8VFTOesQBJoXceL75alDLheVzdrPfCJxn2SXMvfX+j/NUlPRskF+YyekCM+oj9EVU/WEq8XH
G4NQjXt4a2czYIPmJtKwNgtqW+xUC/dU8do2yXsE161liSfj6cmuFo2dZ21pQ5ezNBsOKMhjDSyu
09Q47+fz5CAVLQxKUoJM7a3IqttJ8+ZqCZ9jEkNz6FnEoVnu92QK7gsufRtmnUg4WzXEbi7dYwbV
rkE5vIJTgXEdYBCo9vDSgYEX4YBdfkLxQOkjD8zerGraTYN1ayVMAIEE88ucn0K4Jj11XG+zvuf8
wj/l5fCipWtyctmp8Rkjp8y3VW1Df5xZdSfAACl5/VudEBpvijZ9SLiAZcB3X3MrI5Y+OyLnyhEo
DBpm3aZ4VZTZAMU7eiqyhX2zOEfFcmQz9ChHLhAnQf+pi4Y0LNnaTOmH7XTXrEAhRrkkqS7LyXDZ
evuddg415dcM9I2cphEBsbyLQ4vCX14QXLifA6iBlEUiF1svmVmEUTalJEEvlFE4fdOtnZqkKLC6
zqboRLDWhWJULU2moQu4wVVHqaaVAAMGV9S3/kGUYu9Q2g0ZNyulXjwpvEDwKkyKwGbML8xgfqkr
6Kbsp4vEOoyu/xpYw7gaKDIHR95WFJ4UVdetLkZV6L2mY0qJKgD9ifgh4ykcehtb8XC2mGmiJt4N
XYfvVh7Mzu/3i7K2zUwaq6dcXWnVyZkKDIKSSjAGEn3slPFnprOQbWbIm4B45KqBneRURM3lV6Bv
rbWczXBrlviLPB20XLZeUm+TGAUwdaCRqvhuIqQ57axkb45JSFAXlYnldAfGPs8+KonJroh+brgb
mESLx0osLD5LVV4Jmzk6msYq3/WWFR1BYuHz41NHUsrsOQnto0xCFn5kyaU61pFssO5tpKtk7NuQ
EVqgVfbc+lpAlt1GwfhEzshnbgUG5zDD74EpeF77TySP27eUNaeYObk5MzD36OBQNrywSQWPa8zT
rjWTfhUyZ4+Yt4/M3V09gJ+ZxBd2Rswuo/moLz69NnH2BVN7nUKBlPMG5hNhSXqwD1Nlj4s7QhNJ
/N7SfRHnQyYh2wBTrwXcsgS1o1cFJM0sPmatND6mep2gmti7sfWKoQniheZ0fM4K+aNy2pjx3bTH
+kdManbjTsUNLutsberVha2XGFEyXAob40eUjXfoxFHLsN9no3sfRsXe9/IEf1NJjsZi3hkeaxIm
3+3eZHPSp8kPWTRvU5bp1Q+r9lh8BnrZMjiEWer1S6QXMdZsMVbXy5laAk/r2deQ9PoWsr/x0UIw
lduEY+ejKqpxYNKepHrpIxOQyp1eBEV6JaT0cogpsrmqcYY3enEk2CDh7N3isF6b0A8jvWJq9LLJ
Wcxzo9dPI3qiFYkxhMjq1RSAEP4O2AdYE3c712e+I3pe7Hzs8n1XAGfnivzBOVsfimi4LF0LfVLc
N5+9q102aUN2GGhe6x5quHmaSh2bpbmabhRty44rWJXoR4LZsXYWiN5zWtgEiZHsF6iBixiDwY27
PCmKTBd+dNqXMyjl3A9Y1nsBLWgVHmObyJ4l1RAqdpfHeQJiMDrS3oyRRxpr4CErrjVO5aX3U4MO
Rbb7/yYcKRtLVIJoPxT3gydfK6QmMuXnNm9E5h5sL9owYTuOijs5RKie6zegcdcx6Cdg1NnJLLrj
FBrowhW0x3Ep1kiCoJj6DQ7OdCtNaW8Xxc1XRfHDuGR44D0hL8To40Uw3+sWOfmsRgFXH6a1FHet
+dNNU/8oPf4eoYROEEX9QRTpV1xmJMr2MUExPlgG5QIg9YCFsYh5zQ3vi1gzzkOzeM8Lk4WfJfH6
iTDnJqYgiuf4dpI0lMsQWltn9NXN5JO+WZCAB7T/aRySu7FcXlmwP3QqIoHSTOl8LPz6xN/6WPow
Jw+ABPr6xQ7dbZ0Yh3qADO2SAtcaX4y7UcJ501E27rZIiEcZG6S4uIuqkYFVMPsfUym3xAt+d0u7
4ZVA9JtxhVSDdzTK9q3xxSHIyNaMzV25OMcs7IuH381a/4YcM/wrNaaNAlM4boCKwRK+RYn7a9Hp
R0PdETAiNi5Era1U/rEbJ0Qp5UXNn5653RtoxyMYQfKPEA+uTALD8d9+Y7/dkgOdriiQv+ucQZT+
4UgY5uR0tws/daN//LIQ/caP/W3uty/ez09Lf26m/gRd7raQjzSPCpeXxn/AP4DZKrvLDEZyfAmT
lxgrsl9YUyzkDs76u4rn6Cb9+e2JKX+apDJXVjY1uMiyd8TnFcWI90X59Jro56AbzHrjB4u5B8B/
43TgMCweG4PHx51oNTmh8lU82C+RYSfrcE5vqIRfzNEjMV2QE9uCRKRieCe54iNSNeLEaP7udDBS
ErN4KOUxy7MH+Mv9qtXPtUH2YbVw9uonvtHPfqHfgpHXIc7VVy9L5o79HhE3YwleHCKu7haCrboS
V5Z+s3jDCjxvrRbgfFfO9BgLdPAuK+P/N9Lpf24n8Z+yvwz+YdDA6X/9z/ztvUmL7t9vMfXv9FuL
6f2JbDhBA4f4GqqVVlj/1mK6f+K/EVsXwmAwAaLRlv5FCuIhmECPTYmsIwZ+aTFNFvj0n6ZrEl4X
+n+oxdSikl+kII4DJhzeBP5VOk1WIb++7UgwMS5bIcFC/ngaxvzdyPAEIolst301UN5MCAH82QE2
qPISIGH3Af1PO4Dqx8IdqVfn+w55QltE8X4YR3NFN3dwy/REoDCiJDORdBvVxSisD2WIXboASmwL
XmPGmvsyns6AbVi8qRR73dhnNJ4W1rFGoY7zoodqjK8KknzBOnWPo8joQKVzAbeH4ZPrnmTr3IxR
cFBLNl12JA21fXQ1p9F3HPYXwkD6NuffjgAl2CXkAoXduC+taTfH/kfYYM2GxZ8mbrSNxxC6Q2xc
Wj3ALTExs4fhiKARjQDB5yKIWYnPcX4yGXSulV8/9dW8T0zxBEbti7ThWzPhjXdqcRMYmOibTqFR
bEqFl4iSW/ZoRpuQjQwFe3C1xIlak3h5iNr+I48dUHHCpnWxmhUkcXaTiJS3AxfefLQmzhCwzsba
1o4ZoAZXVskHVOFmAp0OwzKCSkM4/K0ZcGWDA7IgKriLc+l0gBvDiD7MacUhrEkIYDoVUtxP4RY7
+gaCw4fRKowwvtqGY3yTo0Wg69qntYv418fo4QGPaUBc7lzM7jIILvI5OcxKpDt/wfA1BwjDJzm3
6yAkWMJKp6OTKeDQEXWQqcpTPavTaMftyp4cexd2Zbgv5oBvm9EoRSGzu1WummJfdy4S/sFqD3Nh
ynWgh7RROPnvURgxwADfuGwbiyjVILbczWjp/qty30z8WyvHRpzJ453s5sIJVoPy00NRBdFKFvMl
dko0tK5T7es6sd57Medg1ELjBgpH+hiUibHOc3CJ/Ck+YmJxK8YIM5yv8fVOSGeONklBImfrDr3g
OObTB6zMK6wACGBxB5CRfaPiVKxGGoijkMNL2aX5uSEnAQJ7UDFmHoyDW3HiD571oNB9EMonnnKi
XCm3p0s4w+l6aKvLPqofcHgdsiE9jKlzkUuDNyKwZxBJDZCitipfB7Q5zdLsXcr9tOU2UoQNrUK/
fHQz75zm5leYEK+Q1Z9G6p8zCzfYkr8meXPvltTR3ei2V20v76eyuexhTw0RagW+Z7o+960rnaOK
/cd5IHLZ4YZhPfQjYkJJ5amij9YDV9RWk4GZyx3fDaMjKcimlvbrL0LRkW8yQmmRHetWaqmo6SeE
sui58DkuxhXqgeBFn3QrBTvRH22Avm726BhJt88jJKldgnAWZWTjf/ptuUXKwv5Lof5KouFjLsZi
2gSp4+gxwndpLMNnnXFSbaKBRQRSILnJW4HCNoPz7sxXXcpjv7AcjGE4U35ImkV5P7fN85h7W/0U
d3ZKPrwTA4BGziq3UZZdS2fdz1BeVZaie0uNG0eT5WrNmMuJ0ztnmjuXOcMxSgX0ExIB14Wm02Wa
U9csqMjB6QFBj1y5F5pnJ1MHFKdm3JXQDIkWhntXaAJex5Zi1ZYgMIFFGLdR23r72Jq/ZBShETNZ
YFpqCa/hY046iKndmD+Je6D30HaQE0oLl2sqn2rbXRP3GGBh9hVhnFNH9eYrXT2l9dhhdJ7Hcwzr
r3XLxxz2n0vmpn6tKXSIyFsPg3x06UVdawbAX96myMFryCz9uPJij7RR5b6otiDbSLJuk/OUnWtk
0FuUrc1KFXxfdRF4tB8o2XIntrbD5IS7IIapWxaQS8k+vLQXv7mMOivYOG5RnriGPnq08FsjcMiJ
s5vAJiULJk5pKwYUVRrxYXOISL86qQxplh/lx5GCfFsNbAps+izL9wH6MraXcX7bN8VtBeRz0+M1
Ju6gcDRE+exWDM6iBH92C2VFv32MzWR+EzfDZZHMtOcmVmoG8ru0wTOcJsVX21R7lL7cV9V4n2Ri
V1XiTEAoCQgxyhlnfgyD+KWx1K4KlnvN7sxw5BMB3YOd7BbyzfPHoVoIa6xLez1b3rXMUCKlPrmg
qujeYHTXGOqWcA/asVmHKnvvTRFtkAGtc0Kc8Wps3bj4NuQI5gvUYZa9p44bbyyRBpuQB549P8om
trNy6k7IfF84QeGDtppumz0VoHU7eq3NXPcf+Kk2YUw4lpu8VgrP5NCzwBACOFkY89iNCvhjHNwU
Hpr3plc2hAE5HiJBVHQuBSLQML5mWU3ovEkMIBMaHkx6Y1ZHw7KylZNApnN7vibvabat14AXKRfe
DRJ+hIATis2unyfaX/vSwJS7GQKHEVnL2qdYNqoiOFYZ1XtfBFyzU3JixMlLFiostXaV39YMq0Xg
T7tMgd2rx2nbyfApkNgHM5VWO+GXFxX45yFuHy0JXhpON6edPTH7rhsfQXTHKssgKSn0b30UliCZ
SUZMLow8Zdc6PEs7iV692Wk2uTNjH8F0QdGTx7DogKxNkXdf5nFAGMh0Ab3h0RmKj1HSYschZUTF
/HpB1KZ02ETuWBuPY2g1YlNecR3r1MZ8jUA8xvmUDofc61I9kHZuECGo81xohVa0ABWyJr20Ja6b
fjDIjnRUp7nLOV7K/EdTVtZd1/XySuGy3c150W2nZOwO5khbDiR+fJvHSaPkSsM/qbEtCQn3it1U
uf2RHSIQi6ZhUc59xoRxDp483LEn7m6JPKO2yRmG5lDW4w64+MkP8Yyimjtg8aDRH0x3jWUCFGvC
tj/LQ3ObmH1ar+ZcTaduMf8vkhT+iZ3V/qu+eiu/un/5Rdr0P3791/8YeBmY/NxlPmX735c53civ
tEjpE+AV9Or4+d//619+1W+9gw8+znHhDXgYLdEpUbz/1jsQQYagCXCmb2tZEYum3/UOrmcGRJNh
tPy5n/q9rsnkpRQB7cZvbcUfWE8xE/g3vQPqmxCKtgW+JoRm9WvvoB3RpiTCdsNE9tvgD+YgyQm6
McRtpJo7hVGOhnk8Wxy3+EZ+pDMC6UZCmYiH/ZxWzxlQX1zlXkHHTgiN7c9URWk6UKlD1QdfmN73
w/yAYuoY93BTXOsghuw5ZVFR1eWT8NSX4/afSR6e/LRgyhtc+3YFhhdwZ0qdaZBOs/Ib+97tiwsm
bD88c/zOEbWoroWnNgzPzOkiuoe8XFt+y6VQZ59d3tjrKTK/CzdZi7wKVrE0roQAtWHPwibZFBli
5Vw5jcX8LDOdddYUZAg3BD9j8EO8yjJqfHWCbldPU879Em6jfrgSYX+dhTaUd8SSuVfC2gwRLFYD
dsyxH4C5eYxYwvxHyTyArNS3bnGeWx+mWjORsLvYR+Af8NQDdciD7Dn3iMixyvjOHq2bKu/fKgst
h/ABIbT+pRFnZ7qGLf/xjmzcjQKAEdfBfhEWb/UIrVrMl25LBWO21slpCCN2jKbd9VOrMTiMaEJL
ac30PB8XxuTbLon5NOBrhgmL+sD9xKN+bU+yBxGQtBs5pbd+Lx/wqcO56Nt52/mBtZ0M8DSNRQSu
iiyDsXNSX49De2PM4qVX4ObAISN/cXFdLeMG/JV9bwTBV2AY37NCADpZxnfPPFbGFSO+LKrv8p6N
2lR0J4K8u3WVoZsqovw6RA+zqmzzVA+OAkw3cbixBDBs6wc5SacA9dNIYW6E+ftgivrSrbpo3afW
UY3BVvDPwQweYuquOBnumHdma7cYDiFfEx0FJvx2RomvGuNmKIc3idJrkw/qi/wueQTVzuS58OVD
k6EMHZf/zd6ZLTmOXVn2i5B2MQOvJMHZSSedPr7AfMQ8Xswf1l/QH9YLqqjOTJUkq3yr6i4zySzT
QuERcifBc/bZe21E11Bn00WAWomEmvigUhaxwxN6cu1k2dSYhnWCovlAAEip3qfBtJYoevoZEveZ
f1CXYxjS4msqkvMsBgvFwVYyhgVHHKpzEOe1H12HaNZ1dr/saaEjA5ANW02Md3rHmtTb+J064bc3
o/F/OnYdCjFiZZ/E8bgk9nxsOfouS9X8yKdQPU6xLx9CM1U/tBp4CwSkkaaMeZbP56EeFz4ad/2d
zvM+q+kdg+/H6LhhypIWT/sgn5x9VlWP6PCXvMLEUcb9XhmNFxFlcpFlUIginFZRMp9SEpNMrnEn
ObcyUJTfTRF9JIN5M5sG+631kPrlOdXHT5gOTLrJcI35DO7b+tx13UMdZ0feBfUiZFYPeye8w81O
wCuw1LVQcqzxVr2dmm4lbC6iFo+MZHgZlXbb95RTNHRu4MUMMEDJn2Dsk0euY3Clff2qaRStDLDy
+DZEhOgoH+nK+eTDWRD6Zd/RqjroeDCjhvcWzzjVOClM4Q6mkdEM5TI1McHolrKSWE4XIfVtWH8w
0uutq+/DqttPeOFIotVoeMW0REf8jkzqoiS9Rj6BR73OrkM3PomIrLbMScUqHYnT2NFvciJ7Ymez
T0kSVOlqapTgc5q4z3Zkh1sA7qRRappnJioWzhOHKSPBIkMNTbBopiT1WmkWR6sLMw/0vgBjTPhu
AjpysJvsjqGpX1mV/xZZ8SXlS01CfAhbPpcVJTi9AvvT1A6D4rxz1t/WqfpmtP2HmgcE7Mhgwuwb
+2ptCER4LotHgo8DAyBUkpa+GJOcLLNKsmD/gQwelZCLcNbfrAl/Pg3yQM8hFnanLgzq+yDLYQ3r
1APahbPUqxTYWGRTh10FzV1Jq4Tb4twiDG+TKa3F1sEVviwLsescf8krOr6YRYglMCF3F+L9sgeE
5RD7RGui7jah16sDdxlHHd6aAuZLqJTYyLXsGBW9s8rQKFZ5VndHdiRzVea8ZIhO9KvIUPyd5lCN
gP7/lTTJVxIMYDSLZDlGHHE55MbkqxOvNEIuifFwicjHeKUJj5LTBUysglh11Qe32o0oEVbhNBnt
HALhmdWw3C/SgJdEhEliSdgcDH4+xAs76AGiaJX0Jr1yuAUkPO7S+C2Y1G8zwYnVufaHDr5kVU8W
187Ch27SZeKgUvqNKJ5e5Kg7HnUPUNotYu6Ksyl0uaNw8UCp59rxYcLXA1dJtY69YCBRITT7Mwqc
Hrunv7FEw0Oudm59BsJJdG+mg7xC2+YBif0YqiWFC6GzYSF7clO0e6PtznZAG4oe56u/7mn6z8nO
/3iK/NO8+F9qQMQJ/s8HxEP9Lgl5/gk++GtE5Pf9GhGd3wRmJERkHW+5Tpn2H0ZEV3N0ZkRY+yax
de44v8vLGhOlK4Ch6rblmny5f7e+m7/RQWuALMRuJNCk/yLa4x+MiCA9GDex0nNScudf/wN5MFaz
isGJKFfX99m9yhkd1XsxQgZTofFkSG+t0MdpFZqMjkvfMGFPYJx9CeOoWiv0UI2HQBfAsrSBMxQF
PVPoycK+VTq9DRmACVsFp8BqPz/rYpOqI+IlNDU/UqdgEAYpycyb+INN7ajYxbG3p6Mjx3Xl49yD
bXrK/XYD0mvt1t2mLMxt39hvaaY9yKBe+3hTI4HbKjcumRjXfD+Xjhlxyi/WZmM+95XzqUQTxM7x
qGWEcuNE0ElPGfeInkI6yrkKEy6q4ou9qHibU42+VIBfAdCpKWsaA2NbxWQoJ2Z8PsGnva9qTy0K
rFUW2aooko3qYyHlyH1OLHGhw7UGqZTC8Rs9VHrMyeFOi5zXts42do03KO2OeUn7Er2Vr0Ndb0PN
eUOX/zDDCbep0r72OCo2zAX5/Gy8j+uQpHma6asgLj+jKnjuO/eD9p1hkReIwSOOXHAmOh7voAO0
yzjfRVqzcVJ+Vo0IsjP9qcAj24Q6ID7xYK2UNIgFlFzF1E5cEpcHHODjZifSmFmnactdWHbtKs1C
mwm0zC917cxtj8PN6t29qzcfbqauizBHKGmpEaYTHfNGF304nXFXJET6jPmeao7l3cQWb+aFBy/s
JUQ+AdPUNbjf3HZBZSvkOV31+ppGcSOIdkAu6dZq/ZHLvP/dlZXgIGl7jIRfatbMUkunLbO8OCph
yeSoOagkfpWsCz4EZjjmtFRL5VHRMJaq5Ldha5Wc5cOoB5qZGAvDKnZDF3DFVBTChgJzm+bEhBDy
bcD4iqmo+UBmg+Sr5ZQ0KzwpJeuEQpooNZFVKanq5MlUgpujNIh0UQG52W/PwTDxsjWea2t04FuJ
c9N1H0nNvAkcgu903H+nY6VvU/R1DBHT29DkYjF0EA+kpGyDQIEvg3QnCAzOz3oun7rV7dxU6fiM
FhluEEe99aKfXwG8bk0R7kKVA6iBUFMoI9WJuhNzvyFxZ0D91XpbWdZhvieSIvifd3n1jCEdk0iR
bYVtvMoIi0YVVNldXU2fOoHmjcWhhReRXPsl3I0suFHz6JlFv5BGwjWAF30Q4FXRWUJ4C6baQjcQ
7SSNtLqkdas2PtSBvwOhiGvVmIAkkumpqOimD4wXDXqKFsSb0fxxq+RVHWLPDtpdWnKjJju4mNzx
3LrGTvjJVsvaHaPJ+AhBZa9p8HIGtd1parWLyJwsK+ZVXoTFKmkU4DkdkqNW8Uio1GUUZONqqqyR
0T3aMDQMCwwZSzOeh8O4eRSMUjRc4fTHIs6mk6eebKmyyomyFn6wlrb6kSqsvmZYiGUvK9Y0pPc5
ZruHXO2BzrxJp9/4WuPxFbaFneOAUw+0/kZemKQUi4EWok2TCobEWju62LgGQVLF9tDZgOGo7jWE
fcpzfuWW02NNnnCl1jA/CywHVX6cmANicg6czFLkq0B/ZmJbpZjZccqZVKAZ8d4F2QoUrPwwuuCp
aSjosjuWKFdU56FgUihpx+tYiut5O87G4Mun1o8IJZuzNe/QbSRJ1qYNKVp1F9nyp2LddsV4dvxo
L1gfyGhYfApYL6Okew5NtzLTS0e+L2B7D+L6S2Obn5AxI1GuNLb8pqGVQiZbVIZdiwqgT030oPJe
QZpHIiCNTmluIHP+EuwlWVNQMSPrhxxtoUBj4CQImBrVoSyQ9bPpzp55ngVbFqy0g5KL7zEePrRQ
UkfDYlX11mfQCpikJatT4W5zEiDI+fT44rcTNtYX7LFpHl4Vs8DlIbd60UOrrm8h/ql1BlYtAk/q
TNm1jwQa9JzOCkaGYlvwGaGO7q42YZ/GRrd3E968STW+GWX5oE9s2EAqzCDaCrOckEK6c9Z3JA66
asDYDwWwTrCNGyQhNZSE+rH1LfDutjwFiRbO6NF9UkVXqMR3iZbIrWZNJRy84sGa/WOBgvcoaKO9
S9ZWsSHMWHbzHDZ+fYwkKQylIOlr+JWyJXwWUZus1cvEmQ4o2jVc+dZfaGb+MsbzolBb3KXwVAFl
yT03mZLN2Bm8Eypi5josFrvlFFa2+i6XHDVJCJCu7ra6Sg+Fntg4cfz24ibUi4NWWfjOAF+1rd6B
gw1rQc3kFJiA+SN32ZNDwuWfkO3seKP3FC6z0wC2o/e83mgSERuUZbCq7WZclUF+wkOVswJBGCgR
jI8ksj4NSH2VbD7loDerHItj29unVlQvgP6eqiC9L0v10OVEacIeS3XSxftCn9RLZwzT0hDzFs3P
tFem50jrHGBGk7OGosf+Mu8gmGqTVDmip9u8G/ydGYqDMSXNXeYDweS9pDxPLVcAzR4eWzPZRiSg
QH/UO2eCOhjSEzKWHC+VLiJ6J58GlZxpMTlsjW3u4CuzKUiMLfns9h2+Qssc1hJRhXgQqqyeKu6r
34i4xNfWl5//M2z/TY2dnRf/Ythu068o+Aez9vzbfs3a2m8m3guN9lpBpZGlMzb/kmNV0gKGYdBa
ZIhZe/2DlQMN17EwhWqaTqSUien3Wdv6jUIkSBwa6D0hSIj+FSsHiuvfybGEf2yVkIAwEIxnysif
Z23IlqWwfZS8NPUpOAcX0eWzBW3TuBQW1vWTEcQfOLtiL3EcTBvuF2Uw9UbS0o0RmWeoGzLEEme+
T8Ma4nY1foU9LPwhm+nXJYtw8m1EGl9/kMF2NGffPCEJbSX6wIK8Gi37vIpoLASnVybmbtTGgqRP
eBFtskWfuvVVdKdTr+ZrZBYBB99XOdZekgOa4mAgKfhvz0duvVUFpsSxu4tyhyp7PCX4AW1vsJzv
QC2PghNur5qXRI3hTgw0ObCXmvLZbtuNohHnm+Y7ETvvOqmGjegd81nTiSboRbKDSrcbNIf4EgZL
zucr0gIIOmIz8Ks099I5wLu1s+1NV+BpLpmCIyt9L8njLRWDWskk2M79aU6ofKBgA8wIx7VaT3j8
xvRMCXq/creGpMBk6nZz+4kt0y+77e65Z5OS7dQEETX46mzjZqRzj72pMQf09aLXClZzeyTHJq5d
SWgxFoF16qryioOVM4/IX1qt3RkGkSXu380qrlJ6cO0W1OgwiJWTmpccqBXmzlTD7gvMFKvlgitj
vgS+zQCAbUxGeFvaXnnS0nHwRnqNFiPftmNhwD+OHL/fYJ04D1b244TUe4oEkRFCQXFnlSH2hnAt
3XLVusXJHOhyjYTiqTXX1ZJDOdHeYVzNbVGd495rFmGK2mb8KoM3XodwoWPzTuejit1mP2mq16Xs
f7j+WVbMjZuGL/YkZ+cFbe/+EM6P2OERIv1P4icnRyF+qguHbTGpvkda9fAJhE+yaY6GOXqDrR4h
pW4HGsvxEGY/uDpBcZgtyc9ROVtxrV+HyuIV0CjEQ6fuh1jMxq6sXZsPe+zvz63E8BFO6sGV/Bma
fkqVylxIqe1SohoL3XbPamQdM/zTBnSNZQXjim9f+E22uVhUkmCfOeG7ybp8lbv5iR32gTAEx9Mo
rl8DhStvqpWfDSXyiIWUcI33fB7y0k17bdnCQuUKSwigGluCncPJqsQ+yYt3lcZNIi7jo5azUNa5
8gP0KmJyE19QDziwJB90S+60Ngm32Lh+9FF9FqM0UVkbWIa+/e6Pxl7SpblW2bCp4uFi3wtodLHM
XwYaoRXC4lvJS2OZZzltttyri9HmjTjGlMsyG058aSxKI69d3dah/cbUVhIyHLThLnHrPfMpd8Ew
izcmXdPrtCFlWCcDrccNAOauqtyTLN2j03avWVABLKHnq7TKTZrM6DPCWQAtJRghmgfxlhPKqAZa
Z4Mev1klon3Yz6VbUiE8E2c8TcQA1JN6szGL4MaNGXYzEMxeUQKZ7lqCmI0s33je3OMgU9DicH3Z
Oq/Q2Bm/+in9cg3zvgtBEBJUoEXN3ykS6lZS+ofWjjxDQ6Ll6TLV9N6Yc613Ej0VI3F4ZeTIYdEU
O4Ms2ayqOiPcNEZeHPnEB/X+IVIZFIeymH3f2fSJdVc5lzq8lFTiZLHEbZhByWmcEh8Q8tqRy8ai
Qso7NnAHk1O81In/zp98Gwu5T2tUZOpL2Lilc8jg82MLEZ9V1YVYkshPVCWjBP9Sty4PJOdDWDZM
eo2ntt7zpGPV55qxSDufhHiigSqn1tYP8bykUvI3SNq3nvhVASFUoZHNgWiupfpD7IakxbMRO0ut
pkupmddgYgspMuO1Bs1iQOnHScHyprpHui3axWCl6rY1cm1VdnJHRgztUWjHyHL3PpllCqv3KlY0
SIDB1xCKbl3T9LZGLSFFgk+vCPL71KW1rXBbHizOgwVUDg6TerLHk10fukb9bjFV8AmAuUVySLEy
h+8roZGiiIp7LSr2XRpdy7hbp21VkPKG3+Q0arTRXGPbkkGzgI/YPqxypzk6gY9huC7itRrRg21I
9Fi7z76nkmanMKjuRZ1Vix6LNWN4mHsWBL+cTycm0gSkae8+hvBSwNzhM0jC4cnkMnPkGzQsRye6
VA6IgNDQNQg9TeiT4fLFJkaE205GmO5s8JiP6qRgBgukzG8jz/Oj1C1iw2jz8tZH6bCUjmbjFlGx
PqQOGYGBdie1kEcjtF9EG54DX78bZto2V3kY3zOBGw7BeQ74TnaxHYz6KkB1BxWJJGB+sDannePk
+16pn5Ouv/FZs1VSaN/IvvAH4dQ0MwncdZRPGabRk5KOz0rj77Vi2CvddMopDFwMM098EMmTmbgD
joPew+L0DmPVIMMDw9sER84P95iAJ6fQj7p6cOVpfI0UDrdS3nEPuvYF7D3w5grp/3zmnYtQOqe4
hIE+WTMadkwOA0J3DSadozI4i7jjhRC8qIDUQwUz4UxWH3ztxYXI6WqUNFIfTQ9rT2U1OHYNtlI1
uA+qVl1A0/sL4Yp17/I6ybTHvnWIMc1sd0NLD5wZv+RMfQd2Xay1mQQPOiaEoYDTIeqJC1LF/lO1
mLprJb4vm+aNRD+WpBksP1TmazSj5mOdu6tOEhAGPZZspJyJLsMePH3UuusSXH02c+t5yGC2mln2
PVB7f6bb14m99cHdo6K8QK7chy0Y/IGyVGusv0g06otay56mugQP76P/O+z1SncfWhN4d40wBNRQ
8OhcHOx0JnQA4A8A8TsA+dW6/+JTChM+qH5oHaRn1PJDIjJapb9rAZzaaX+t1A8Kq4tlWJKGM+hL
za2Z8E0hQMopx5wbAnqqAjT+BQaZlyb5GUvmYyPFO0d/ascr8zC4yR2JrW5JK9xOm3sIAji2RINe
BgoKCBYiYRG1wlZ8rRT1U+C5s1P/hQjqfTkXHJiJv61Lsjnl3H3gdBubLoSEE7QPaJLrvYPoS18C
DGPoiDQo0FtI5bvTnIxEnKMQMBhr0EmjdaGnfSFp/B2pVB4PHJPduZ8hnj4rAgFY5JxHnQaHsJWn
mkcUtshVbDiUi+hE1tAl6jJ7sNrx2M5dEAOlEGIwPIHxL5LlC8+l75rbuWmNLPFOOPeR0yzRmwLP
kVgrffVDdANU19xCEasaqClSMh0nrgOd1ZgcUzvbZuTBnuy5yCKvu1NbkrUf/1Zywf8lUncT+3cA
qnUqEncpjMFHf+BsxrchAMhnbrROJ6+onFJXabwqQYVFccVHijZ8c8qpuNKFE2z+v98Cf4+R/0ub
///+X9/Jfy5G/rvH3wCvbuDxx6qiw3CcAee/FkODmkcYkDDXgawzXLAy/n6EAbGvYuwhA4CNx2DP
/PcjDJkBLi+cXyxX54LDUecv+HRQVf9uMYSvzm46g47I9vChMS+OfzzCuGZTh0LOdYHWcUziXVR/
FsVsVXCWtMazFdj2Wi+0bWYqi9DGDRuDKhwtHF90HVynNF6qVK8aUfeMd+KUpYi5IZBpo6Sjx+x2
gSVQTAyqSQo+dVCd3/K890HWwkoZy3pPsXi7DHR7wt2jz6oqR9ZzE+hAwMERQkVoYup8IoJYoyco
6KAU1cvJnXb0FQSWvExQxgEeg/3pjmGc7gitPTdm9+pO3cyK2KSdQVE9iUpIsMG8ExCGnZL8vdGu
VVt4YsbGul3zAP75o5iBsmHQ3EPLX02SFYxTCzbKcw0pIgmtXd4DZZwgK5F26CzVoyxkVVNVQM5J
IS/d7RrV3aB5c4oAZmvMVFttyL+nlrbzYdw1fbKfPTQTqdC+L9el9AExN9EMNSoPaTq8ya47piZp
dQscNg/x5lpCbn8VlXmF7447lye7xy6kXbqIbnQiWk+DklcQ6qkZ4YbfekJL943dvRPpP/ldH8Cq
a1Z6Ie6aqnM3OX7tRcoqvVZ9xLW4OehTxC0H/BQ+LEMX3SqNGBLVIl0XEmuRFELbw84+VnWq70X7
CliuWYya+to7j2nDPcV57Sx5l3Av8OWrQhDPnLGGSn2OOhl7sCo9Rei7KFGzZQt9Xeuqg1K3T5ov
7gabB+lsborHUx/rD5Gu7bJS2wUKAYJYAc4+SPLNcpu4AT/5WD5Q0fuMW+hicTdo4Aep8c8ITYij
DbN8AGDIhTRENOWIWnphSQ9pYS4pOcRohFtRGVh6zRlXVPeluuhRo+WMMopwzbpK3VOwnHDqD1YG
mI4Y+pE6Uk2BG8aalF0tXSDQe193V213kA4/h+Gr6v2HrqpXtZLcN+Y+DN+Is7IIIdnCXkpgMDEI
nRyYTCNxPeiSGwVWk1Sncwm7CSvAbpxhThVUp842lylHGdUfXAzWpHftIF0rMUogbGKwIOpdljjB
wwQxakoGXBnlRoYfaRE84hx46xSH3iQ44MwJRzSHJZcgb4JEZUCkCim+XzQGa0nic5UHTl1946Dg
rmhdW6N6Mqr2qYBwxW3sCGbyGjrjxWrzrQUJS4eIlUPG0iFkFXzq5RCzQshZVWQhjFN7EBPVaZpX
F8JWb07HbkZuKXOjqQaFK7Tte6XraJw6+wEf85nvci8JGiCU6dj8jYo9E0F7nXAbHTaEQ6bVBPxr
Ut40UGBwwC81aLCId3wNKoxXtVfz8w/GT05WyxCgWDA3d86EsTZjHeQTljMgZJVZjS2zCOCjvkkC
d1X7wtPFtIJ37dXWgxprV1LKh2qIHokic69yWw+n+EKxnjmmL7jZLjWAaxrOtBwhQk2H76bLPlOC
nwuEAOL6V7+h4VS+mcz7w3QDffrRAzhK694bRpA2SoH8a6ZLYz7n1bF5U+36vuqgWpcElGJminNF
Q5qqa8BzGIaKz4E+blItx1Cmm1RZ96gzgvQC3PhFLY++6uE1P9i+emdVREy4/gbWrhhST9Ee/von
/D+2S/y3BcX8mznC+ZdwwVubtJn8j67b+Xf9knn130wTsBysZTwLsz3i/36aa78Rl5uttZo+G3P1
P7hu7d90ClEAEIIFwD8x5+z+8GnuULAy2y1sw0E6/iuf5oaYoS//1qoye4RtAbyZ14vgbwihcFac
//xpziFU783AnlaKBQhQcSs6g2Zu7OzAeMtVZ6QqFpTzCF520nl+zLzZjCg4wD5OlKKNDj1haC+f
+bRIA4gTM7NWY0tJZoqtNfNsg4ZqB19EPTB41I+c7t9NMJClNTLDWdvZNK2tmY8bAcqVMzF3MPN4
3c8U3Vj1zTX33PHqYHXfWTan6QrsbgJ+l2shZJkGOilg3kCIoFxNceLfAgerF1En/IHDSMExH2En
dXTEQfYtPtk8QWpuCidb+Ul7HuGxQZYNV9rcjQ5KNlgpFLrGKaCvtsnUnyY0+psrwmJtJH3OZ4gT
bZpBsddGkDl7hcXHowihXCoO62OP3IU6xKIWmS3pnNAqz/1EOKIAYYqjDawC93sryp7b2IHvTuQD
ylWfO82W3Ae1G2N7PzYVvqpAntEdz7ClkwWIE9ZiAPLByrcglrRlepDQgs92bvcnV5Fi7QejsSz7
io14Ep9koFTEXgAkcZ1b+7aK/JvgR7jt6va5hckAa9oy23VQjN0y6OsjdhkT+xkAmjbSVpPpz6pZ
/lhZsEZ0e9ybsW0skSC3I1QNkkbVInbFm1GbNw0bsF/KjSkhx4NfAFqmxPpC8sOoA/1GY4sX+1wc
U9d86UOMZoOrbHzpHhDqWk9NgC24QfdS827wxJB+ykAz4O5GL13XrBv2P8ctq6VRjifDotujl/3c
yoYawcXWa4fGJ6yierpkXoxMNdlbPCFXPZWkXt3Va9Okqpk/6VgGY7PNbOpkAN5TveH68P4c6LnV
WB38Ub41rbOeJnRRxSZN2LoTPY9MgItJ6x4M4XMXrwnI08O7gI/BrjtFhzFEVmw1VLBkAOZP3PRj
0JITV1pcoJ0ut7Sd9PTHOemdxlS+KTm/HfSBq4BrUR2JYSLzrIS3Xq4FchEY9mrCJE1ENl1aXXxL
nP5gWtLd9GPwbZC2PIWpdU3L7EfY9GuqOGSSpD7IVt/745z9akI8vGRz9E6hxzEfU0hi+t0IVZZX
5a1zDK+TFRm76R0k317zAbdMpboue+e5rwVsz6ysXic7kYeWnw13/CYl7QjUWwFnATzUupi1+T5Q
U8kBGll4yqZnB51Y851g22VzU0r4MaEky5ScYepE2CoQmX0NC6eldBSHtlysEaKRl/YFwrTutu3C
nLXqWlGnXeWMeOxzMAsx0KdwuKqGdnFHvb+0bpd6RJbOulLe1HaWc5wfTIarHGyA3xfn0ucHkzFP
QII/6pm5T5TqGxj8tk+cDUUVOxl130XPb6CJqJKceCegHzzeHqYAznNVA/FuJvUO8/PNSMjiziED
vWzXk2P99H69F3Z1N/mcmHkT3mImkgCnjZoGzxIz+UIJDUog6h8X285SD/UZNwjByE2JyabBNHqJ
qg1raI/FV9RD/KC5ZMFh+En4PlBnM9ZPIvDzVWuLD9hQ/BSVCpNrYwHvsZoSyQ5puU/aSzZqGO9b
ODkTbhoX0b0OICeru85XmGRmC3ibcx2JRtS4AcPXmCfL0umvadAAbnG/bWkBBR3IHTY5nvfpMjTF
Nc2UU9tVrFO4LLCUufUm12xm6/Cozi1tim2RL8tVc5Ekzhv96zs1UJ55ufVw/ZS3IvX3fLwdEArv
4FydZI+uobf+C+NVtWoKdyNFf6/SB7/kInZqcVnZLXWx0WjXIPKIblFX5bvqtzMQ0PQnSs4N98VP
MtgMY/VgSOXsDi3OiBkVDhodxAfPGx2Qd1Da1xGqeDXjxcN+YIS16+9Mgh43M8QaAY285e6AjQdA
eTmjypmQsls/48vT+eZU07a69E1nBff3oQ4ciuBF/zo57s6eEei8IWCKRe6+VnNnOdSA0qcZmU6u
olu4xGApoRdHPeyC3V8fp/7f9KhysP7nZ/Pr9/Sd5N//cZ6a79y/5ilGI9tx0B80YQnTmOWHX+oI
vyJ0S4MjrJJy+tPZ3PoNAyozE+gBgkXYV/84TxE5MsHi4WCdyc3aX5mnzL+1y/1pnuIwz/Gdlju+
FAgE/uJ/VEdcC4oRTcXK6q1K6W9wrYNUK88qEA9AvELrWNh2scwr+hByiu37y5UPmd5zI7HF188N
845LTtlsyXhkYploLSvaYgRNlfjTXfw6HXmGJk8d1IOr9lPd1fdYUBnP3jhkL4s9ADLw7F/A8itr
Xai7hJOtEa65iZv6Tj61tFSP2GSsRYd1tiHbwK60MJVN+55AiIsUc11bX0aMXkiLzHq+F5FJtBby
WkVbkh1Hd63eBmvnoNZ8V5f6YfwOAXyVa8Vf0flYkjwdLsV3+qAM9y1e3P4+If/KXlSuU+vMZpno
x8hYh1RIKsEjiY/kkG2JerKYleWuKbdc7F2NvMMqrPhnGlVfMtww5h7XIw167I6ButZPcqUMXp5h
tT3wns+NdRZ4JtDibBPZO8c++/7ObwDi7vSLHW9JVr4oGaPGlmqGiMqnIv0q8Ol0azoz3yfWzvjT
VZZdf4qmSxaSVfffcIy2Jn+PJclazb1n4167dreyhwfcCzE3oQwCrWovODfU1hvhgKbcx6ZDqOgt
4eQbYWiN9W01vZv2TzPvvC6PI9V9McJN0W5rbFPut1DJHmPtvIXVR9gdSiX+VEAliFF4SewR1Z5c
g/QbxswS34WFjYACW33gvnGV+qXzH62fSe4qhvNoeHdfwi+n3Zr0pfR8aZPqBj3fmB6NrPmkbuUt
Qy8283swVetSfYm5B3b5T22uu+BlTB7j6l5dqtC7O+rLC06p46KOdmDvrQq7V3RPl7OJ+XQTqpfK
aGkmN1e2DZr2XrXipcPLi8doTTavdReqd0JDw8vokYd7/VFeL9PEp+ZS5Vzb7ex7V19cIDXUj/qj
/lQBrQsJIiyomxiXHePGgkxyeVX27uu2/aictXbNGcs/dMQ/PLKZhxpFhrkql1Bv9AWAkSMM2FV5
F3rJQ7ns7vyzKJic72bd5h3ekb5vmI/CVXp1HW8KEDCWmLcvXMLrS/NWo8DDgcB5vMqbqxgfOvVu
KmE2ek17dTO6FheiXjGxDcVSYrYw7+m612lNwhpWLeo9FbJLXBRn9469wapW2VHfwC1ZQNnWVvxR
CWVSxRrbHvwlXv5v4G9ZEPylfc+kbSz3Q+aJh4T3wb25Nz5glYuFdNap7cltvHFx01GM6sHtcipv
tO6EtY+tJcFChJv4MYF1XoJVWRIMM89v1Tu31h+K3p2LsYFX+Zl9WKd5NnnlQG/Ey3breNlHixMz
PzeraR3RQ/MJQAiLx+Oh3cOVWCj5Mt9nc/swpuXV7GLb9F/hNnpQdsyD0xNvSK/cY5QMF7AWx9Wr
2V4dOqR7Oo1p8qM8kmcIfj59aVPCYV5npz7DrI0DnOiMmv60SBQlgusLAvOieSNUrrWHOtqWKZ02
SwsX0VrPtrl81Pxo2YmnMvyZEo9A9LEwF7myCWnRjDz7jX4MbpZKfSThzRRYqng0dzjoOHB9GV8w
PmVAcOU1dY7BQwTUm7GCnvCPYG3ehrUBvqU4G2AOkTijezU6UJmtRIT1x00lFtUHtjn+0xfbvN/h
I4wkoyXe7DCjYLtafBVeiYbFA1iForipOHzO7OJr2nu2uiKRSJIUwBxXGFQzUN/InG55xC1p1St3
2o/OrR73xkExVva7XqzDAJEXb/utj289j/Wof2qf42+H2VzZOu2JkkU7XtmvCN3CX+HjVYNt1t5L
rpDJLdLvwRDcazw+aa2vW+9/phBuJDRyERz551PIMfou3+N/ZN7jt/2aQtTfsJmauqtrHGIIKyOb
/JpCxG8Adm0GDYsE06zr/PFGY1Ec4bpEa34VQfxB1TFodSCywZjC6k285i/caNTZVfgnVQd3vGlq
xvyHIeqo+t9lqXUzs2Xs/h/2ziQ5diTdzhsSyhyAo5tGBBAdGezbCYy85EXfOvqZ1qBlaA8alfal
D6lUZlbp1auXMtNAT2+SZpn3JskIItz/5pzvZN2uB6ZQA3YX5DKXzRTUa1AzM8ZdS1ftFGAwJchy
fIMo9T7D4SviBrLHEEM/s/YCKAvTG3lb0Y3IRBCBJZDNDnqXH5lj76IKYBIIy4Mk+J1JDLE2o4GY
S4fXglVjzZf21qTpfNECY+HEqLJmC+ob2YuKjnoPzJaBai4RAxNVjZMokM78A+mcvnGd+dwTao0/
49VZxzzgeDYVwZutbF3YSkXJRKFDJoJeiMnQVpGNTeDiFnqF70UEVqyh2fUan+2wEG6J88zm5cvk
svegxs2kHy4WQVa9Q2IhPh+AMV/ukvPaYWu2rLDdHuYL0Pq2msj2krw8F1u20F1woGjCNgSWB3JM
fnbcEGU73WUjF5D7FElZPdQtqrdOOIE+2T9xIdMl5U+4jmwZPy7uWWInt9g+i2R6H0V3p0/q3mxl
CTuiv0m6xFd6upctOEXXdk9JyRnijgl0yhIWuriU+ptVz57veuUH6wC/IiseWiysTY5bDL7q4hYT
6+8Tq+LWvTbVD7kihp4j49LWD3Pf+yULJTnLw7o3Y4l+ryrwGCY0R0Fsd0+jGs4kATIDlGOQs+OP
hgbh5aM3Nr5VwzzNbw28FEbLhIfq0ZXxEZRKAdTebAZkRGgbe1N7K5xjs3p+w/shpNh6ZsS00WGu
iiE6hHV2IWv0tU5VgP15j3xm04F3XIQN0DOoWSDqo+CRbLc4udEIsS9py08ptPu2sVg2uWlCDG/Y
3SyJTi1ZNGr7H0ffL0ffiiv/146+4vNjSf6FBoz/7dejz8IjuB4raJPtX2fTv62nTROMrYtv0DEE
s+Xfjz6H+G80brYNvo7W6I8NmPMXw2DTzZn5q3D5zxx9v0zN/+boYz1tCLnC7vhuBofp3zZgJuCq
fmlje8c2zH5KJvzv2ig4UTzAtLWmnYuKUhjdNcDbJEBefBJaBXCqa7yNFsYpTO1aPTYhLp2pwUlR
m8Or6DK0GJCRNq3J5ieb1Y8y60+iGckJTVyarCa97t3xtZo9RqGaeoyz5qILFUSWSVoFCVFmk76H
k0ghlnYEPETmTT9ntDqOS8Kbmg6m0yufZJ3+o5Pwziq3exE1tb3dufU2X+SafiuOsTIeYAJ91c7K
cS0wMHqMocyKTKzpzh7AntUi0COKci3RbyVTwaxwkAPXFeYccN0xlhJ0JOs2bTt5pP+UpfZiWIoB
EXPfsTAxuC2g9UbvStPMFNc4JTN55I81rU+e2pJsNZicluvQwnJ2TtqbzuGPINC8jIKsF3vaJbX+
DcX43Od4xfXys03qvS4fa/wbOO1u4sE8MRt89iw0ky0QKVNjN5XqoiHDobr3yijIsxr5kUXYmyGC
NtF0PxrHU2Uv47lf97YKbeh+EHlLmGtHDK+tMr9yqCSV/VDxozWKCDwSgLfNoDHfdqr7cEh2TNof
+7H6aD1xPQ8UwRaELGLie3Rc7ph9duz1zVRBQAKiOni8pu5i1iUMZnmDa5bFpLzTgevCIPUb3b5M
Qjyi2rlKAJnzdKmtPk5X7ihvQ2c6Zr31XWbmV+RQMmYl8oYBDWwImp+Yi/rc4T2MZEdpB2XDNNvD
7C4vDi2X4YgL0+YjDV+AqX3nWsBSITOh490JsFcIyox7tDxsfrtRoULEe5/NzZtDvoVbaN/xHH+1
aBdKyDsMHugfZq6N2s2Oetrv83AA5y7m9shbTWx7Kr9MMOROHQVxXd4Qj/mFggMPqgEXCyoAuAVQ
wuAR6I9LjaC7bhkflsLQjrUzHKoBL2gqXsLBAKmh7lnFrkOPbIuAqA0iqZ7MOX2UOp8xFkWDGxDU
XvtYGbPDYuMLb7DruyG7TE2DkAKTIsEbj8vWcTG6G01gp+WPuplJIuk+82g6Mdn/tq3VWeDVe1ap
b/Ok8N6p45DE5S4RuQlvofysW8RRm64nUgjxyLLe54iBY5GjnkgAqqZpExCNp2GAQmQ4FSQGlRmq
3ZkeQcXzfQzlIxz10FczQmxpMPTtjfGu5GOGcRiRi57bCoSwqZe7rum1E7cdSSUxSxFOEgKTVmV8
Lj7GDuGrqCGQRdEIhjzKzH3UReTsTLEXsGqQAYugvWk43cYY50ud1296iRY60+jKreskdrAOutoG
RcS0pXakSwASnXiY+FeC+TZDgMbV2Q5BlKUnO6Oz1PAabpWKOx+0OLlSUjtWVr3XWCiemR8sh3Zm
vDRX0M76eMqOVddaW3OZGVIpZP4LzqqlxyRKBEw7D/f1mhBe2um3YRs+wBALyxCQGa9o+GrxG7xm
aN0Y4+aBhbc1KQ5CHR3kwkk6ykuVLsdWG65Lqe7RJz8Ky7idFE/ggF8T7LPPQ8v4pvm2G07kJAnf
izBnHq6iV9XpagMy0SOtKzlnWumTUcFMAhUniTPk15h2d1pg4tjGfG9G4CKHlYuTZ3dl2UiAnwUh
EZJ2qbjMnXGFJ/KNA4bXY5+lrRUbvUsPkOgE1kkZVNVySO0Oj58B10DDpTX68Ob2IR5Pr6w+pzY+
unFyyi0Jnxx6KCmXsM0W784kOGKJ0UXsuj7zkbQSRFl5RokEEuPf3qvXfKG89IJEyeIricUUeHZN
pdcPNvIcnKnYxp5aMGC36NT7HabqH+Cjm41ni+o1ovA6znbG8cOKldl24ez6sBe7buC9yFvkVUus
sahra6KlwykTz9Viw3fR3YF1RDT2zCwihJN1EW5DHRVykbfaVjO8fK8kmKS6hzyDxBCfQnEys3wO
6oXGsx6nu3Iexrs87V5ahVapFb7M1gKz3WodcaeTSdZaw6I0mrYWgew8gPV8JY3oDbG8www9u21G
VCysSKHXZ4Fm4+G2bPveMK2dW9Hc95V9xyoVZD3u1CpaDamQ3avOeu6jurnL9WbfacphesJNXiCx
vrEUyey1a5XbaDHR+XSawAxvgzbVnU8849eyGMVBthpLT7s0TrUyp0Na1V95P8H0mJV5BdCCaCDH
mu4svZ9YYa5CHURUsETbeY2Pixpf0zq1Jy5S+bZufxm9xnjMqU91YmYoYMcbDSiLrqtDMQyBpixf
2Hhuo7Fk/ZGOm9wStm+5g7sxVXw1GBqD0gJPR2T2+Taq8qPK4IsOrvVDyLrHHexYaLBpBhrFMaG8
T6HXH+vWaBImKVBhfdTAAPjYyG32XBFOQzRFygtv3G66Lk3cWSMoRoyZ2E69Zz2NL3E/0SgRTsQZ
hEKsd1a+dgtN1ZOwosUe8dnB0uC2WQvSX8vq3xezKO4s5bw4EUItyrrYj6cO+2WCAF4bCWUZqaRO
LuLCbYh16vD/faX9mzZ0VVP842L74YMSCCpHl/xzBPT6lX6tv+Vf1skCEwTp2pZjGMT8/KH+piT3
pOusAd/rlON/yUPZjcgVDb0OA7AN/jGeEkvh6vXDCeBQt7lsNP7E6MFcJx9/V3+jcTFYfrCJYTTi
0QT8cQEyzlasF2VuYSnGaleF1S0H3a01tFcscO+9iINd9Rq9YJQ8ITx+A677AvR22ua9e8hM6w6m
MZXcdOKsYB4cAhqLOR6S5XUuR8jlRcE1N+Q3sUSj4ETyO3cXEPsT/bhdP8cE2oVdfe3wN2ZAqLAl
12GzOwFj485bw7lW6lHfYBjnQwqsIi+1o9cjr6TbL2GzQnrbmjoVFQlqGhg4QBAUSstt1y93cZtd
9SgrC9oBZVZ3yeT5XuOdR4/+lWTaIZSHjALNItYMozCTzyGww+wdLvx0gNCxa4fqgdsDMSpUA9xQ
r7WLlXCqAFwW1nzbGguHtGswc18N35nQYTpVg3zJUlJKkOJxy9q62lN2nN2xY+TqPFVzw7mjN2T6
IJ8HTXLUwuxWqfwqHNkD1bI4NvFS+cYyf0Tt6oj0ntleXInuWWgTgrCdOzFGWLAc6H3xYXMQ1CPg
p9JD/s7xYK/nhL2eGNpkHQqOEHM9SxzXOpGSFiy404kYIhJNZxOzFqPluV6PH7QzaDc5keBgvkB4
3bfkRvEoPMWqYwmWFdcCG31YRv6gQyczW4Y38VvL/qVAh4gGGmklyjeGr92UnooRhU5+NXQYRrua
5U72Hs3Ox9RBofDsdQNkguokYx5EEz6zkEcGuzwQZ1bdNtI3XFYVZC4mKaN1I9il73oOYaUTmyn1
4hiv5/NUMqturdelY7+1mNq5i5S7qQAQNUUXAKtzFY/CuG6QxvmlZLa0pKxcGrV3tJuoXSVKLZfP
iJ+UnUWzcicqLDiYRiIHklcz30g6yLCfCc6zrlm4bd2h6LdE1ROnN4INX0cZvb2tSnkSkEwNMXxO
uRnQvQJcdRdn2/b18yTIvfEAHfTRs61eOrvakzjy5kHuqmrEDRWoDrqJs9KcL01vDmlJyjjDlUNk
qAeyuHitOlGY5HpuuqFTp6bAV6Bwiebh9dKZbzhmugdDhICvsNyiyja8a0PMkR/ODMFHaq94gr5d
NX7vfWayZcvFTnJBaoNXM8mCxWp2k+Hnebqr0DYNTsg1LXdGaPneNOG98TYjUVvSY7kwONe5qzDd
nBypgjp+1qDoSgewWDLgGHQrmrM7uOCIEnC2MUm0CQMtiiucwet7Eaz0n0iUOwsNTpNlO1keh+FF
X5kSrKf6tCOf5kVWw7ktelxqOqxmEiFbuap5/SSzUQg7d65xyj0WCnRig+MFfblbquuWBi2HrWNC
5eiN+K4My7PevueQxLDcg9y989hxePwI69YnqjEGhwEapiDhTer4nM5xeKVKvC6+XuTa05+/M/+d
qS1/uzNXreM/vjOv/vpfh7/+5/LfcGOuX+fXGxMDxDr158ZE7Qj3lJ38rzem/ReBeBDpo2tIuUoH
fr8xkQyQWALh0tHJ5EUh+UfJANDTdQZmrTkLpmP9mRtTGn9/Y66hCVzBkpk9egFhsDH4442Zu1VX
LWgid1E9BvZ8Kt1xqyuYQ3ySZdzuYx5plNgQ63cTTrQaGn056ZccjgOLqjUUgECzWvzUi4rPK90I
zmSYdiv5Ll4ZeGnWtrfjysVzIUTYG61rDwyhcFwv4Y/UZPIMLQREHE+yTrIwyiSWz9VK2GPidawH
/YqPJN4C1oLLSuKj+dCIR2o0johK3FoyvopG5Wzawdu03mcMw2+ptKDJlO/NV7qieeDulSWeNU3c
aVb4ELG/Hlo/h0nfAhp0OrknuXRbxD2y7+YQxaMDHSdyVyzJS1FXu4WBVKw7GKDrPbxWWJvVd8/G
GDIe7S4uTBgo1+Gg4xmBQxiZ8DIi52gwnoFyg+V6iaJHT88/Y8O+FXNDHFvKUi+VgEkTFJmV4aXQ
YYAMrMjD7pefie+WrThE3Ljz0SNnOVvc25oQXSsNAxCAu6G17g3aw1pyCgNVnKrq6HKUG0n9FY36
u8jBiLsZOlNUqBfRAkvAlTW+FDnhEA5qjayiSFBBKgF1i9shBX+t/0zQuYsRErowHquV7WgjE2VY
APYABkMC+nHIS9asrXW7lLx92fg2S4juLscVt+7Qm5csbo+WIpnXBFtJu8sk1HvRs5siAsoze/Ur
jsJ2CzYG3XtH31iBEiMlGaCUXj9L6YfhyWwemkUcdDrsaYVV5kN9KMg9pm0POq85tkb6mqxsS7e4
m5MGkSjEyzI0782EZUKFPupptB69Vr2DZWHdExXXHrwsRBawoAFoorGDnJIGdfJDpTVgmAFmK3qU
FbqpZng86NXRqST8TC7ZjWvfuhtN86Uip0ZLB3bJjC1q1KQKhGcrpgcEYjdDO+NHmu5LfPHZMvEs
1dppoiErgIAaAjcwUFAlyQECEgqe7bgCIhzwViRhvqRptDdq+7qHKJqY9KwC05KTryUqZH+7O9CN
H0gkQ08zshiefF1Mp6SnoRqWMwMdiDsTRdC1R7eOjD+cZj/G8LiM2XjQVq5ppSfFrl1zD/qaZDxl
hu/6MDzi8ty1eHiHFMRB3wjt1kyJwSA2wW2tQ8KwryRsWhl7y/goy/ropBfSlIIZ5UnBxUh0Hy/v
3o54aqbTmKqbEt2xmmhSW5MZ3HONyTl35oMNeRNRHr4T3Cas/VFik9O4LzhYCsf7maDGJAUBTUio
y+tyTuAEvxNQcZmzN+0Xm66GQBj1gIRAQcOKJ3n6XhBuKDZ9tk4yk8iejPpJdt7jNOaHTHuH8b6B
1keeLQ5vZrX7YiApUVzFC4lGo3hQefbTQ6a9EYbG2K9TT5ZRQ5TF83MFQwpOaEVS5nNPlEWf1NfS
0G6ZU9y3ibOT1voiCL0g+eLZrpn09Yt4JOCK97FzrjyZe/7oUNi06DaG6Kfu9N1BLvMD832s3G3/
mrXWtMXAA49NUeqQCA5OUPOL9CNVE1w8Nlr4mC7p0P2IE8mczDyPa3aHNVdfqeMVEWQNhJkVgvfC
QGGd6LLadCQ5nKpUP5X5sjXawe/FYG2zNYIsdg3C1zFuxWbibCalPwmLb54zeg8L+8uzpy8jt/3Z
Cz+RCb8BH3gfSYnqlvVMmzwAdlqq/C5GVkKAAwTcKLsh+/NYdPiLR6ZC1HDz3WjEHdLO1OQf7TEf
SNZpyC2BOh2is1mBTnhoGQ9ua6w5eLqZOYImA9mxMXLUSPbYX3gEz27mkNggjA8RVu+jI49JnR1V
6OKp4xLCqozQ3QVD1dFkOVqXPfTZVFJzFyRlLHrQJWN0sCf+ZqSN13OVv40jA8Uwv6unRdvJOfm/
Q3z/fzJFSv6r5dD9X//LL4rJfz5AWL/Or+WQ8xemBkgDUBzoOuYPxgS/lUP8iU7bLqGASs/+gyPF
/gtUIVfYDooHx8Fg+jflEFUSLb9j6waDhz/lSLGt/70cMiVrDs8QwkRisTJI/1gOadCke9I3QsLe
Ij4qTUrzH715K2wuW7Fzi5G/VMQkQHS8T5IOi0RKmku9PMWOAaeH/BDdu59WlB2Nqm/l7oFpyX4i
TjGYbGMzQL+LVgxetLiJn6GoqdAelpDyDNn75L/vBSl4HlM9tzBOk5UC0QGDQSUGbk+DL70RAxTB
FcXXZeqmhc3HOeg3YIijwmLVjU3+QHzLnVyJflmT8imA8RfDtJlX6l8ilK8rW9/mLgIIFmDNHpzJ
MQUUKNLBfIlXfmCYKlgx45HkSEYeo3FKVtagzkAaIvohVPZxBkbIwTxzoNQfLpjCesJECbaQhE1m
K+m+h/DXQjVceaYVlMOVMoBgbLkXvwAQI+dz6SQLjOgsV0Rizltj1sO+Ny2/08Uhg6WYRcV+TZyr
Kt3Po+LOg7lIBkVgrRDGuibIA8gkflZmGdeANnJ48fJtEHV8IIuleWkTqZPEPLETGSE9YoSr+JUA
f1wpkDKmWmS5gqJzJUSCihyndtiOqQGsyUVlij2Cvm4Zp42pEQWlCdjECwpsvHQwKFUNqcZNEAaE
ucM4OZrvySXZx8t3LfvPOtd+WDMjk6Stef8HmkkzjWHDJPsShQVEuuQq1ZfuCiMPiX5W+d7XYYP0
sIVuqPJj0VRPOpuzbVrDdbcRq/cshRG6ivcubkvMe45f2dO4acWyn83+G0YCBYF2xp9MJhlhZyke
grp95uNy08baQ545H4VGyKohsycabBwU1XQBkU1kFUKUzaiwLwO+O07le6lsbqWeIteFHpoJhv6L
4QB67s+o5B/SJc78pU9enMzYuwMpqEbIlD00f+RTqYGiig95JBCa4AVUOhDqQgvve5AlB1jTXE+u
+9GNkP9lOT66c/VYVzxIYe36nTR+DkJcD7aGujN3zp7oLo1deidb7wIkS9UVJgXUJwT7FnJ5GAgu
BFKLtBbEJEW8G37P6wgepKkDBJ/troaTI1ApPPPF0zVfCd7DsirZpkA8YrjUfTZLdRcO2mnQsjIo
i+TZ6YufNdlYbhHeSOW+lB5lmDS7L6c03rOi+8l4497uhn2shpu4DwuufwetdBjWEMo9m3V8eMhI
wZJttm+s+cUjX2zXdLD8YgknOFT6T+KRGGw7Js/mkO7mqL7NKu1su7QwpVtfQgfr65IXF0SI33ZN
0aus/tsbTPjAIKGwZWDJAqy6i6mpy5H8oUXdRMly6bB2tHU+PZStuKlld4nt8cHL9T0BzQBTI/2q
WrR6B6QfsBg0J8etiytaVsKSbAsKhV6/6gMgsbBlc+GaHW6wlU0uOCDG5uAIpnl60sdw0cbzooU+
27PAlfOPJAUOlhc+Vcf1wpIbkqwPFmLHKQMkrExrsn7TG1w6+zg3b4yZjovvXGyrMMVyQsKC6gZq
QRN+E1QtLIcbfoW+3TA4NEaMT3a8BPMyJheblTManR54isbuUx/oTmxqN+EM50yfnI29MEghL6On
nLOg9KAHAgomt6pFtNNLc75Jps7dZUBZzNaKfc3Rz2UlvmKxwjLcPt4Xosh9HrNun0mP0qj7Lhqs
WCVBaNu8RXpa5A7CtZCs57HRAOaayXXlzsuNZ2cDefZYvYTTscZD2+1A9dBgmm6gzDFQja2gspC2
dWN4KNLxc2ZZvGua6FRW2lXXtvnPTJMIj4oRfW6nvDuSYF0Q7nRdiCTGwkZDcphV9RPQQsEs2XCj
K6it3cUAFLuA19xp+qrbVpwPoyK7znpak5sMWSTXGptq1lzYT2JjZzUV5To12USRymltTYb35MVL
lnwkbAxg0BsJHb51X5buwxhS0tf0w5NhnefC9gLweD/U6hgTpbXn6H6G7HZbqeTDnlnY5MK7jpYM
ommWPtfsODd1a7J9Zsh71ZnhK1KSb/KQgnAaUPJT9TqsKDX07hIZyLpKNNbZdMYJBpl5hnPMRved
BG2SNRYM6GNlA/Xrx08rIY++XVPD4hLqWJy7L2RrEZxGzOETMznO/cQ6R+DGMPBTCnKcXutrrMQo
BkZzA1EThgkPLluWn+0aQ9HEOLKXmFWlXiLia2Ds8K8EVxgKREBIloUegVst2bBtFTkXWoHbyXEo
PknAGBLs/skaikE9ygM5lId4DcwggChoLcNlS02YBvgUbERrwIZRmCgByNxo1vCNjhSO2KX1atCg
mV3+02POsJFEdmSJ0tAeWo+ZmQfkyX6kEV0qIR/1Io6dKtmrmoRBo745rR7BXOH+x8il8VkLCQdZ
BpbXkpOihkm1ygpace7WNJFIH9dckZKPh4fZPklvilT3WIzI/DjNTvHeRESUxAif2SH+HNfwEocU
kzSzv8UaaxKvASflGnXSQ1NWZJ+Ek/7a982tZhjlTZLMGjZZglKmNTIFa7LhZxA/fW8NVLG79rEc
ozt2x82OT3h3HElfgR/y5cbtC0CyU7vGs/BjFH62Rra4a3jLaAHE5tYl0GVAQWHWLB/bPr2i5+GF
e8O1F4MLHGAtaqW7n6Dc6A6eDGu470iOgYFxTkiSoUa7LQxGrRUZM8Zg3OpkzoC2wVDqpi/uOBHk
xeVUp9bRWYNqEjMNOpJruoFlgEBZMbfxSy294xhap1ToNLZr7I1g1stRRx+7RuJM9gArebzEaALK
NTQHV+Ft1bjuhkDO5//0u0enXfA0ZsyCTX15i0YewEg4N+bABj5J7RdPQdYNTe05l/yCLO8ucdHr
9z2LHVTvRikuXq092Zn9VKwef+waJgqdqdUCIsVXPed4Pw0wm4Q61AMZeqFb3qQDck01hl8KHw2M
tkf0Ay5iHtfZjIKo8wGqb+uljzrsu43RoBXVnTzIcF0bufNZCINQSj06J7h3mJwcSXVjCNCmxL1n
2m5SzhugsRqvMKYMIjMuaW6cMPMGS97d1aX4WuKUdBGcR7OhXhmyB6wixt1/TKcd7GEO4kbJGPgf
T6fvq/rjv/+3f8Nwev0yv61zXZ1QBfJldUa/5moo+22dq4M6478yfEYZvm5af1/nIj+32bEhmaRP
E8ytf+cDuA4YIBQ9LIjZAnt/aji9coP+bp3r0AwaCNmFY7vMPP62GytnVaT9SBkZgjeF9AJranqa
xuUEq383N/IcJm1gSHXVsEw0ra+RM+Fu0Z1j2YkfdeH4eZl/KdYvySACs01fR3O5kqSz5PQyAPoj
+P0ypsV6EOI7iuvd7E4xEEwmyjcRJFA/E5KQ8iAdqjdlpod6Jv8H6himfWqGiAFhCnlQs8tbKJxX
bZFdc31HdkV+1INXZ+d5JP9LNMcBUt046zeME5GFkY8yvXsyeZxYRbVreaMuWRK9SMoAvC2qhz4Q
MU1qUgKKmmodNMbucugGTBn1QK7Top00T5yJoNoV3fU4O7foSkgZwJiDxM9hRBkz50lzeUYn6bss
5qzYOxQNNdJEqgsVZGE6ZL1kL9D+N7MHs7PtmQ47ARNcLtEqIVac7Ja53upV3CL7W+QGoeERSdee
RXiAYHNEr0o7lNsHy/70Rvavcb11meSxZiBo13py4A2aSzMHs5eHNxFQ+1fak26WfeBF65zHq74z
wuTajmCGacAFyx4ENTWmZb3FcJbGqEis/EyRSyILy8xNOjhF4I2lT/gxPih0XLMFYawlHQuXU3hS
EMGvC73Ecmtz79Vc8O7g3iy9NV2HAI3ehJXs0dT3BzuUx4EYjm4knhW9am83z0lHYnMG5wH/PX6y
JL2a3Jee93EN18wtZ2ta7m3kWrupZUAuGSe7xLThazeALV5sHkC1EFtEDoI2hT6pultlPUyQSqE6
4EFsdmlm7qCgYpXviIVImW9l74nLHg/Sa2EkJwXhTsDczJvqwcFz2VIPSBRRcX4XmeGWt1nPX7vV
h4dNfcYDRUFtXPQye9A7gVJ0qOadtAVdDrv+bgUnNPNkHqRm3oqkCkqvPq4SvrBAG6SKn3CxFOU1
/cJIGl30IG1CQMX0064oNNe3gWvhxch6ute2wDkJdZCtidGAcAAMTIlSeH2QetNzpbLrkDs+ltyd
gDyuJV6mPku3tupBp0oYcu79NH5ZY/SzU/fc4sFgv5r6sE+J/AVruFUO+1aAQ/WU+R6PV9GJbWmG
8mRFimgPavixJYXUeg3ZgYewfUaw7N393JRbY74ote8T7TgSDZcuGpg5SMUo+RmOAmp6RXWKbRrQ
K+NjNTMEqOZ+l2Bykz0PUgvEN8ku3Wo2FBmC1zxIhO7X+W2+AHbuTKBTycE0SceiUgnTuvBRLflm
Xp6GJT3hVPcjXJG6yWRoZjrqKX8w42s4gGfctqc+pWepR++ltZt8p1kJlKwkZTv/pjEE6KvRnzkl
UpRtTkFmYAve3ym/emsXcYO2TR109ry3moWsqwyFAIJa62ug0AkJnLEECoLvFQiLbSJwSCfTJ6bt
JoLtwjqHUO1npK0ucgmLUlb/SEKKe4r20kYxzAF4ydu2eTGw7iftR8kU2E1Qb5p4boaeFKidYIq1
dwxsKWk2/dDH8FGRxIEe1LrUaYEDxEVAaww/w654cRC51o26eJLeBLLTg6olljpw4YFul8+tq70g
BMA2Gpc/nVx+L4N8WsgvH+FXkey7Mp+WGFdbFxMSQlaUoZpr0oi3IVxhmmB/TrC/OMywMsjd0y+c
Q2LclmLfdgvJvB4AmR5xd9sC5SVOwFN3LHyeKntm0E0RCwkTUlgP88WpNeQfjJCHFg8dWP0EMJY9
NG9k0JxTFpcFAwuE5NVGoaZ0ezCxhfVY12SUOYX9nnjXJaHKiYgPIiKkQSzgNpdVosMwz2MjKiRI
Npt2H8rLPKhtSkyOWz4pyfSLHOsyykl2TRRBsaSMTO2CQw8wo5sR8J76hau3QaHrKBEBndnO09Jg
t4zdS5dbJ2HVVPO0RK03w2ZanOdYdC0CHxX+H/AS/73u900qiH9cQT0kAMC/Pv75PHv9Mr9WUNZf
VlYSsjfMHubf8RJB4q+sJIvpiP0LSfH3CkriA3QEQBBHWDj2/1hBwUEysa+sZCRXZx//ZwRxzr9Q
QRn8eISbCox//9Ow8gdeYhEV02wukt1XvxTbeCYWUCKj71a+W5QhbLHnea/JYsbEmlR7A6fIFlbH
VdiNBwWHrGImZcjIh+TX7aeOKFPNRm7dEJL5Orf9OnVZOxs7zf264Q9M8jS2XZEclyRCcwxFQIHq
D4CubJTh0dI1sJhTbnj2VRHT82IKRtO+1hE6XeOGf5OpjjsegbQxVcTPFMy0VEd6NZMptw2/i3F8
YlTI8E3blSwwI6ivIb8G4rFDYzfZ7bcsiMHAVHZJDa86o9AmcgZPcJHPV+DK+ZgmHaFWRHy6hmZs
ge6Qq+7dO7ERNEtL+9g3T0KVn0ZGLE5mmIeu03Z9J8iiL6kjCZp76dd9K4KfTQzLJxLRaaZE3uVR
e2eV3TmO3deQaTfscTfel7nTX+TANNkxih/zkF0inewVhvxnuxJaAJ2LTprU1E4hDCrD0QJo5546
7BLYmOQNN+Fu1L1vao8enJ9xrSy74UtTErkxUPsKlXXpuS8qdW/HnrisZjG2Y8+gqcgIZwmtuyHH
fROXeAYymw62tMOHzKIPXyY92iZFhOVQSZS3Ms322bqSRCotjxYDyn3TTPY7Dp7Yx0ii/LyNaYk9
Vn5xYwSIh3MWfe6x9FIKKTwi/mTRWtchHCcS5k+qdS6R8HBH5tWnGeMykcWrLDXBXCT5FLX5SNux
V6O+W0eG+JxZF0ZjsDRUDoYrDg1/vC17pIsFWIHU9I2peBqALFY9GWR0DBtjwT4PVNIvJ+LPJVMc
qr4ori5VnV+PLs4Ee5zRe1EG9+6ZAb9Pm0DFLeNzMatTydNvzjg7vbB8tCfg3gqWRYsFMjSOKYvo
Vlj7nvUMA8czkYmHuLOPBspJR5U0Bg0+zxD35oQojb7jgbCVvUzy52VpwUz2wxIUBnQf2roCcjBe
/2LpHomC8+eMQKqIdLQYJ4aQBaYn5BIE42GQArrOEGhkzhqRa2GsXqoRUxVJhsesGu4MzFZdSG1o
qOihworlFeLBwppl5XqPCE3WWxFFWK7G9qXOKUrYL/cfxuruGqLxf5B3JsuRI+l2fhftkYbJHYCZ
dBcxR3AOztzAOCXmecazaakH0+fMqqzMrO66Xcors1Rr11UsskkE4PiHc76zM3zamVY5vyYsYGSY
ApZQrrBZBk+28omBmXwcIVcFGMgkRrKiNZttj7WsnMOzOMJrxhQ8XxAFf4ixoVUffrR+AK2vPGpe
Mj1YjmyXgotPTk11439Y2oIh8zCU43PrWmQCGN9mDHCpcsK15JgnsnIXjjMY3FwM20p/FrfE5Skz
g31rkNzJFLBD5pg7SG4Rd+B6S2sGSWM2k1vGMVEp4SrWTCWs4T6PQkU4VTrXCsGr1QGWVwpYQbnt
SXT+LnrDDq3sqET5OnpN18yu5rai+q7ymH6tRrKoARLPVeEVR5+Z1616EV07rjwak3Ae51iCGMgo
9Weo8+uhYQfIuq/bhFIES0AvV05Y1GuehEAuJXpPVncaQuAieoyt+CGlvB3bcVPbYtfzybKo2tpC
uwGkHKFVcOSCceBJ2AFZJWtp4NpU61AL2gtDVeNpT10WUahbFOye4R+DsTyjsmqWHVV9jw8jo9Jv
8nITxqohFTktr4K+zpKEIV21CkLLnJvcbViXtWTCV/cJLcekSnbGwA6AJI9dZoUqK4AHTVA8Fh3X
x6XhdcPbgFihUj3UOMTxm9b2I3Jn9yJIyaiGgSV4eqriLKcdq1RflvgwFQwiTlYyRGMi7bZZ8UV7
madasLfFmF19vLFV7mXwXlx+od0QfPkt2fGHf/yPf9fqxWTS8hfVCzkRIPzf//PyRf2cr+pE1yY9
AOG9JXh/KGn+bwMgQUIQ7gwXNytnFLyBbwdAaPUtvomwEMSLLlOj3wdAKiLIMjDA6r8PlP5G+SKl
Uh9+DzQCs8ZgSjcENYxpoiP4dh3f6F4voUR6Kzs0j5jWdkmsmD8VM9LWJ5+drLgVeeDsxXpJurj0
j1mP6AeVB4Ntszqz2LlsyQOCRZCoPigwQdxF9/1goTuuxjNTAyo08Pa2EFQnSXc0xHyY/WRbux0J
ISW7dU8F1fbOXkf6TPYkMRGEvlmEoNedcZrNKdwXyoTYNM7Rx7w4wtw1rKxIBocoq3UHRHbkCGXl
VZB6D01vHpx2npbsB3ZGamHm6ld11OFJleuQ5cbIjCBmViBSZ4MX5jrCMxAm9d6XFkjpfOdE05aM
6peWyEqW72SJJDUdRc4+QbjrImHDPydXIyBE4dRqXt0vCsfa1KxwBsItQho4JdFOc2ct6nkf1P1K
wh5CDMHKXp4EvP28vD+vqADzPLo1ScHcGCasm7GNCBcqfALNI1+5KEiNOWNxuEokv4Qvhqc8ZWus
aGRLz4HbJsZgWeXKvsMQeUApiZUMZxqYgnniuMapPy7KggVHrguyzHD1bfSi1FczSUPlmpGNvXMa
8zWeiBCIGOrAcPA5/JRWsYLoOGty3vpdec4r/YLeaK8lsEpqBU/wr/oQKAPFKYVPrLxLgfaSxwE8
GgKJUb4jGpfn84xwawQ9JOrkxMeWCzhgYng9mxRJWbybc4wCuMVeg4++uwG7okcT4dXUOWZwFfj9
hr35zjSeKp3oZtMPDnrmjgsv0YmUCOXa9acnGZLM4FuoEydf26BBCFeGQ1sIl+4UvBxveZ3xxxQO
7OdLtPeD3ayGuONFxQoxb8l+1nPYyO7Eh2yrDSWb+W7Bw9qvrDh7dALEtJqnwaWhhEQ1zPvZw85d
lnq9cPSJ+JpWg/jTW0c2KfHOSuBR2vADE3tOn7UUFa4sy8+u0XAfFUxvwpFdumtNNyWvZEPv7mbL
33MDn0dTe+HrlJ9Oeaw1qEmxwSZUuDkMykQflzaV5EkSBycsLOgLopUkR3pMSSAqk5HiKbGWMR1v
qcfn9ES4/FCG8XuxasTwejeY3DDcp2LZww+uEN+ukpo1oBB2srdQ2loVFcSYAGwopzA499iZRmNz
nvXE2Ws6FUc1aVg96uuKU6AYiVHXyzrdkwPKqK6m0PXc5tK1h203OG+FNmzjNrwkrBcfuwE+NnQP
ltO8TUb5khkj3U3c9Vvgk5vSgVcSN2+xyuWqGoNhY8NdqDmQaeOYHWHYdLTwGl7CwC1vPK8yDxnZ
WmvpDyUfEZMyx4xZCYL2xgricmvF81mZYhP3827nCaCyRvBokgS7ybsaVWXUnYIq2MR5cxmxa5Tu
tBeEoC4Kiddaay0Ato2HV6in8sd6nd2Xc98dOJDvMyt7Q/e/5HjetS6skSjVCSdN9qNn3TDFJY9K
vy2K9gJGwp6R0X3sykNEtZzbOG/TMtglusWK2QV1TWSaVROOaCvr3yiDe69WPpwkQ2bYiQfJjujB
ssPqTuua8ojai/uzLiHEs/hyl0GT4Ga2JLw3Zs7oKLPxssn0l2Zmhe4E3rMTue+RcG84hY/NEJza
PXRyATt6YePOWIYWXCm7L7fExjB+tYa7UWJUMlN+zSZmUjci+NOb4cykN7MCRsRWf7Aj72ksk2Nu
66swlru2yA6d3Z5IxcNP9ZMqGa985u5sk09IGjvFyQLJJbqKapSahheoGPZ3t5rBbU1Ff+2M4noa
ixOqnF3kFC8++HG9Nm+TmMKQq/amESYSAJCSE+Jtw8YDpqw54RAfhBaf2jkTo1pHIGOSc7hoShxC
cR5C/iKmjPO0PfVT8uMLZ76S+kjd1ZoOvTblfpC7j27l3ht6TtBXD6Sdb1k1nmi20dDelBBJL7tR
LEQURSzr42vXHLRzyAvBMjf10ywQ773nvye0RcyKEewTK6KCQ3aAY26CQYLMKQ42oTLb0ItPKxVP
XI4cdbg8HyCvcnNrNK9l1r7KAFIPgdzutoz9K9+Wr3HR3Qaxbp60nXPb+DV/mC9uLRdyVA4yc5Gn
JMPOsFUHLZgWc+EcAbhCkIVbgIQs2lZlA1TALeWKGAlrWwzVvRzDQzrMb41pcgaRozYT7M71wu6m
Q95hVEJAkxUnG5Tw+64BKcaK/OhFxbVdwdTNXe10HhjVZajG0LLiZYfmMhbu3irCzyB/AWwCFMaI
V1yMXlCAx9AXrAGuBpYipUtaYC3RMaQTLtoatqE/HyOXNroJq/oxTexTI2cKr2szzwNP4UyHy9Ey
6bsCsxDtTEFMTURHw5+eHpOa/OSayVzVZT06BTRjVts8xZ6NxkrSEcOkDcwJ7K+VI7yP3pLMXIqe
5g9JgcueCW+Cj18e+28E3RijIfsgzCXsS2YYsvLECXUiY+phaSmC3KR6DYxwetzOy0B4J0WXXwzj
XC202djGfS5I4vOeyqpcBeSSHYxouvFY4qM0H08E1YijKL2i6tBcMJG0wwg3mxOSPV40zITgwssp
l6QfcM5FWnIyQBNYwxB4bRqQ/sP8HNb+VW2nD0lAjKwlGeaHEvuUUZf3dc6pzcGBJJqACoW4va7n
6cWu/eEanxZLtGzYYpvrkduh1gcCjkNseIn79LGOjWOKHWLRyLxcVtG0JgPbRKkzyoVToahzCvdF
6sOyw4TJoTqlp1kllLAPjUzeug/Imy5E1F9WfsQ+pH+fao3HomDNZ9NdRtY2ld7NaIi9GbBMLxHu
1VO4bi12c8gnjkJLDszwadd6i8gBBjSeRVFjpuM6EZNENMmE1iSWa5EbgDomOsluKuHp1yvgFGur
LFlH9CvbjhApRVes82/7oL6UusPb3tqGVrqfoV7JkFDtmHZ7EtdWiiQn5bBiai93ZpPRYrtddpXX
07bNAoQUwifAyxT63qpAVTOOXrs6iKQ2u4k4djVB89rg7Aii7GmSDMgjR1cohHJgDcFa0Ce+m1qg
uOJxjvZx4AYc7Q7rzmg8qxnlLeIqfCWfByh5/EJxvCuomFuN6Umt2fuwGvdaNZ2WkTkh17Jf6hwV
ieHS0v5/37sZX5Bvf6mjvnlOm4iOLG9Zfyow/h/f9FuXZn2iKpLYmQW3CZA0xs+/dWnmJ+zTHoZU
gPymJS1W+38MmfmK4fGvWe7T2/FNf3Rpus6/kHi5GU5bxt8CviEK/LFLozvzHF1iITOYMn+kuX47
ZJ7buBrsmGlo6tgbD0+11RNSLDjAPQX79nBwjVFIuyFufGO+ArZ2ZpX4Sk0FC+8YJBZIHvkf6k0X
CNz+NZI+EOOuaNeUyfeayO4tDQg545Z3r9C9bTJMJ9JIbwzc2GhVEaZZ7grPmuKRIjoyFN7cV6Bz
MqjIX44k6TgKg96EWXZWKTR6xyGzGxUufTKTcyfIXuIRkLpPegkhkMDVxWxdjJPGe7Vj2BtDYC8C
9Cs9MCIyvX3aCgsXdakRDZlIXpmGt9Fgucu0QSADS3SmEFjIom5IVe7eg1Y7um3L5A8WPOXdqTEP
AFChNPWKF4+Rt1iFiiFvKpr8AFa+VXz5Nkp7/hCY810wcvCDobcT/dzNO8rvqX0YANVrAOv5oDHh
ZMVrD8qEwgZslKLbJ/xfrzWA9x4NJ6pUtpG1+9BHAyBScDi8I27qoFyFJnU/V2bk1cQwvczHnaFq
2pkxUWc9VYCPFpUDq5Jz2pAaEI5WP9SKz2/Pt8Cw1eoOhNOsGP5tUoplkLWnGhiPZd/hQu8/oP+1
Ndy7SZ2Sz9D5N61dAoGLMbnSy1c6QlfihbYjeeZ1YdyElD9rk6N27aHFdSNYbm7bY+Xwn2PK+8XU
WiuJUbq2ios+5Op3tn1Sdo6xDoN6V8+S4Nu09ldYttJNW8XFMhgL+Z4FvliKxtAAp/TybtZIm2Vy
OLKl0NU+PepWU6pfxqKCr9HhBi/j8aZznWutLh+HFqGg0NqzIkpOeLjY7GlFhOTUygD0GSF/DiNB
4PuTc4hcUtU9+osoa/a1V54hOzuL6+59ruyjkTqreLL2ifGgNeYzf8MdaHw44xp78M6xi0utkCXv
Lym0xeh02me2w/CMkBq7ebNx45ngGV6NUptfZRkFJ3pjiHPbb8brwrHfx7Fc2y7W38J8GAQM6LYy
sstc08br3kObj25nhzdm74X5FYuSdWcWGzbjkoyD/iSjBt3O7Gde4zLBMxfJyRangz+j6PK88tB3
+lA+aAQgEvh1MFtkArIEOWuytfUZXvjBgC1gbBN7n2h0cAFYZXDKGcHmMdFCte69lkAJQ8KFdVIO
Rxcz1RRg5cd3N5/lA4RDW1u7bDbdwRtPelIN1+2MSiKru2zrRw2b+Aa2rT0hdI8xoT01+vjUWvHe
YXJZZ9MbIhpWIGDYVglKmE0doiOYI6QSC1M3nr02Kjd9Em3afsLcPjWn+cCEAaTWmuYbSBaK2UWK
5t7RMMHCmjkkg10tyzC46lB27z0jE59NZNNnnlHrKt+L1lUPamkudS8Xu5DlGSqWZsY15fXeqVPb
tEIutAg7mJ9ivaC9qeKD2/GQOxm0qyh0TrHeEvleYeP0nGgP+GaVYfPMddqlztILHtV0HyI1RJeQ
6mTbI75AuegfSlf/nA6SLTAcWsdiLDy12yC0/BOaUG1nSzpjEDFXsgnfBzEdohS6SmYBavbPat87
B2voLgaLX2BiJhXU3l1pVzk1W+2gmE4H6u98fLaT7NznQQ1n97qw3BtmyeckKj/omFAkfCeGLcr3
VTE7we5M9+c9ypQq12j7fCMspvZhRCLLxCCPjTqDjEl/1EwyXFvXPTFyeSasjhze+QK/HEpMW0Cm
Kg9aZb+Ew/SIln9j9d0Nt8MruYd3QTYtE+rxTtaPhFXjgoijG9uvL7q2TVcyoGudbSJmC5PRS03K
04qWdG/2OAK60FpyTl6iC36DS/1mCfBYpBvA6C47cEZE7YZu9tSp7N0c6f1ahOTxNiqZd1QZvZFK
6+318X5W+b2GSvL1KiTUJeG+Ws8bQ3eQu3MtUXEMzZGFKvIWe7gp85JkbBUSnE7FtlOxwT6lbeKP
j8CTYHoQLMychqNQr+3VmDU03h8BxOxBt7iFyEckndhD5RqTVpyo2GLeIi4jFRVmnEsiTeCI0Z4b
Mdof5zKyZ9hpZCDrSWwt52ocdx3nV1/58J8J2LBV1Mb/lcpt+16cP2fvzX9X4/zXArlcFITtf3z/
j0zzf5v2r57b5+/+Yf1RIl117/V0fG+6lG/9shdQ/+W/+sXfCq2bqXz/H//t+S2DpRo1bR29tn+u
wf6aB3D3TEP7Xj//4+/7KhBAe2sKXP66VNURG/qvEkv0kzqJAZR0Kk3pmwm7CxpAoLHElm/JL9/0
R+1mMcLxmIgL3aTy+1uGN+fPtZsJFZhkxg+WAFpPFgDfTtjZPxU+41sXOkxIEzXo2t5ymF3zq1cA
8sJjXFgD8/EWI8x0FHFyYnkt+2pnpN1jO0Dgy3QFpYB3vpadMlgkDU4fqPcEExMr905YbHcwSKYl
Jq9ni10Eg/deJ5PQClZhI+8YYu+MJr8MJgRKLOB2uhe/zi7vshlMn2F1Mx2fOKvbrsGuVKt1J9Yo
X2O+YsMqcMMgWlgB9PA2DM+GrAePX9X6Ji+mYZeB4dogWCWfBpIySzfDPXUGp9+Q6l0tEyeZbwco
ZosqciW5IvjRewhimmucUzGehNO4d2i/nRHZTTX2lHRGS350vfVo1XVvcncpWoFFTBvfIyypaett
SeBsS6Pf0/D3Hk9kGzPl7JugW5uiA3uQWjBr8vxIIhVzA7NsFd2QYcKsxgqTGjDUA6enWxjbMKLn
TZhCkFpeP6LqVoMJ88hcAK14Ma/xam0rNcQYmWa4IrlqQY1azNK3Rm8jxStPURMRwarGICbzEEyZ
e8boiLgZIKVMTHqmMiwDGKIUWr1zmarEQ37syClZEJq7r9XgpSPmaeF1nHN6ZVzpajwDEW6ZZHLA
I88EYR6T8pLqTIJ1Zr5TjXa0hUi5LXjTjqkx490YzEve+rTsnXeLCm6nUUSsoiBGi+VnSJ2Gc7V7
T2vmi1imqjU/EUU6CU5SQHTPMKpJSDO1l903enrrBNZDrgWfo0hDLtfsxOw86V5z6TOY38WTcUk7
fAn74CJN+tdumI2TEMLjItMVTKdzjx6A9az0nl3GswJyGhuWOENOEr0jzXrrCrnVLLjHjG/XEfUP
Fkj0wQllKnNqF9I08PSxv+9nJrJkU2qUbFjLomo+kXp0HgjK/1wjcWxG5xtPl5kT3Kayv9cnl51T
DlkAgSeZEAOxZcFnicdhmVrGY5kQppMw7Rr7DKK6nr5aUtqIB8Utr3570ZfRe+VPr16sneWF9QDn
sAAdMYlFHTBq0cydEetnqdV4nw0mY202d/yU+tZ3RBmwlC3eRO9fzdy1a7P0i5XItZrFjOQu6l2w
lpXvPvttROKw5960hf0YGEArg4jPXTO1dpWoSSHZYvWeyG2gCVpwzSCvPHdAnW4MnQBvzR+eLOCH
7wys7zNzfMlFd5H11TXok4F4Dot4ai5U1mPbEZXX8WwV1EalrOB/FvapLlBkBrp/22WeS3WrNEKB
fSNycyN0/yyfk5chrrU1HlcXPFB8DeLibvRHjUIrJ7oZNqAv2u7QesywGsN46afqgS+FOy3OxDJq
alItCiIcrBAyXows/Ly3enuFuAvpaTbc4jKuCa8c3+w5uZ+mlGgf3zhxXO26tAf4PJ4ajsY3TSou
C5tTo6gTQIzGjlnNpayq06iSy9x1wVU3myztLpwWDK8Z7DVjWpqIAieePLDpZ3qoYSnijES0eQpC
6ejXztKrjsJQ9jq57kVx8JKCb8jkvhTO1qjT0xrP3hiYZ1No1uvaCol10Rj0DJV+iwoTbhV3guzI
UBA90E4r1jdBCX/JSI490h6IhXCJavwzSdzdy6Bcl35K9qmdM7rUzJYCPj4pGbmqGHZ+WdTKqXad
MLlfRXzkHtoTFrVwUUISLgPGhSgOEoqnoT2IZgTNYjfjxjAildIEkXFCJRKuhsAkRHQKCOZmOMbt
fyrLinASrdVJnQMNb3p49YpY24zeuLXMaOfEGs16IiAimyObqBkfDSr3J6u17nWHkL9a5xxNM2TA
hlsmb4THkyMLqSnsjeJU1PWFn8Cumir+2ByeJQfdRS9P2XysBYkkIK20SImVud/L2TpJtfLE7W/y
1PZOKcBgrkEvaXlk+gvHcgtMTPh8sKTzBnIY84+tnW1IyWX3LNtzf6Z6n+rBOqP5GRmUDaSZVRnJ
GSb+gCnG1ZlmRbmFkxjitUEkI030Z1lnAYTySQ5TAlq7r17DbNrB5UephEQ5zmr+R93iJRPqX9lY
lnH3mUvCQA0wCiqZkDfvnBBkDImyOnQZJbhtOYdwTjl4OravDZYAbKfWcFEK/YrWBfH2DIy5sMqV
iU9qWTbxMY29pyYcNnEYv/iFvm0a5yJBnrrUYWFkxBHTYhAWOxT5Ier51LoaKHCYNpixDes60Kbk
tauKk3CUavBe2MdCR05bSUdeAswwpm0v5vTWbIfqQQt5x9lxfTvVcQnrzovlSf8xTs8JTps+EKZw
MffZ5Fyh2+l3QLL4O6xsw0L3MABAHZ3qxVP+83LYOUDqQ0CpqO7OIj6HEoCqlpEyEwk6MZSDth+x
L5vkia5XR4YgjyMQVlrg89S1UWIl+0xRWj1wrSwByCjFVO+Y07G3sJIAdmXDNy1bQlDXU1hOixj8
K/lmVD0BFjlb6WhAxPInsi0FGsurhmdGvEv8sEung0uGLcGD8rNIhH2ZpDMcneaoWeNZMel7HzAt
kgqmBXCmNbhEo2LX5kBsxx5U+OCEjy5422jGVcbXxdIAfRtP2TtRiebCqaHixjmfvteQIc+uwYCb
ywN7wgC9XjFpyneV04E9c4mV7RRx11fs3QGM0wyMlxakYIEJn9dXpF7xweyN44OuKL5NVjRbU5F9
Jw2xH6s+CyGzvALPNy4RQlMkmfZdnVtnA4jg0ooPBchgs9bPgUS2DJyT7YRAY2MpvrA9Oe4Stay5
1TSOI51mEzYKRGJ3Gp9NxShGDnZolR6+V/ziTpGMDZ0htWZO0AItUpcDoyR2xYsv9TS8zxT/uDO6
K9wxzaKdOn3R5T3rCHyNjd8fU8VPLhKoedy5aDFhK9cF7reeU2dTKfJyP7fphg8nXuqZMbMYJWeZ
mE1gzRHY5ljxm5mLZysLpPMU0G6BeBZGgcEe53OfTK+dgfE5Hl5a9BKECL9WMYSdXvGiYbRooAx7
0iBjKhKg0lUVkTlO+dp1vCPaLC/XTWW6m8CdlP68CW80q7ntFam6VMxqD3i15bFJBWZtx/r9EMUv
+OR2UwbtukGvW5NvwerV5sWRZuS09LxIS7tmcK+I2X42vgUgtC3g7iZCdglae1aM7VHRttHJVQsd
RanRkXGuiNxNm0GmUZTuKZiqi7iM7cOIJXiNgo+7ECHicuBdlkS8HRzTgI1oM5lCuZrzSqp3dtm8
92PwUHnuux+I8raJWHjoUfqSY1tlhjevqRm9VWIQaiyS5rY1HBi20wH2grGkPc6WOJ8TVXjE50wY
HvoWNKFnKMi4K1eGV2LZ0A3A0dolApltltHUk7ZJkcKa84yyUZVb+WtfjQc/cqHPVPhoaeY3XKq9
LoyXRNrofLCJCx9VozkTYNoGzrBOi/xl0sfLv9/8/pvl5X0F4pmEt/xzydndc/2c/K//+a8x8dSP
+qo6o+X14MGy0viA4n3tiSUBe+Bg2Wew2kVGRrf8+z5DfnIMm6ki/arjSdehXf69JwaXZwmdVQau
RAfYnv13RPN/DrCxGOC5Ns06CfLsTgwgt9/2xIHWGbhlgMBoPvwtPRzOOiGwjA/N6VTO10VBgZl5
IM4DcK5xK3Wwkf4NS5hpUTZIDGT4FoTBk4gYLjsjsmqHwZ5OiEOP0Dpmll0zesUdQGgcdsFofmmA
jOpteK5CQ6MxcpdeC5KjzOuDWdlbfyoP6LrvMB8qrCRneZ9gXcIsn2U+oif3JgiKYjlV/apEhgak
ubfpuiqicUaYfn28bBr7SqThozU78hSQK3vR/BJKwyaLi3VuU7jY9jLBs180M4Jj/xkg2ErGJKfS
Okcdg8C+QcrQuIchDA5WBP3ChGS/LB21B0HNdLAGctHNbobNGR7BPmBfjh+zkEmBCfcDNsimFITK
EORJFgH6Z3jjzYgQqIGQNgCsLaG4DvD/eOP5Sw1bntCjlVFRA1Zoa5HQVSE6DbtG3MTlNpIUyg1B
NTENMtLzq8DJ7szWWHbuq9DYYkCO3lh2cAv/Otob7hVmcyQKnJegVrZpo6FRZkm/RHK/lUF/nB19
MzamiwrA2Y+1EsI66AgSVyZ7MXXuslFdZN4m9+oWXZIjTT/A8Hspy+nMrqd0LT0tvM065Etep/Xb
MbPzp9Q2mzcCf7u3vI4/O8D12NaSGk8pXpMv43evlSYwjlUOQvQ6X3v1W+4kz8ybT1zNv9fNCIdc
egX5/nRq9JPMplHyEdu12aXGES17RIxTFaPSzh9mhntMUNbdFDfnBUkJCyM0LuyI4Dyc+Fs5ALyY
6ZXjGP65DWIGaN50JSPnTKZVu7IQKG+Lpt22ZDTt0KCoEuu68e173Q+vpMWn7NRInuJp+ffPzn8z
uS5uH+Z2gs0qB5yuu7bNTO0vzlD2vk0Zpc0/1e3+wx/420lqktXOMpHzEh8RQc5fD1LjE3pZtLnC
ZDHsEn7zx0HqfJJofVn+umh/f6RpsQT9Kt7V5d9bDOs/uo/+wYX49iAdMptptUVFZsnRksSCOhAc
YYGzDU5HsgTb5sZr7JhufE6YANKO3pgzrcVCYzh6q9vsPUgENnap6+vbSY9VnIVtEbzlOsz63eTK
yvKR6JOsPo3D8Y5WyF8gm+sYhmm3Y5go5GWCWwcrMuajfE3BwXk+s80MgupyKivcinb8zvmibfXI
m9kidzGbJ2Yygdue5pRzglOy6xHzeQhSEXQwlCvppeh9YC7wpTQ6gmcC4xIVl+kQI8zK3Isa7iHJ
FdCjO8yWXWu8s1nGUhCuLBfnT8WKKBUAH3AbPZJfTVCVhlK3apJwU5WyWKYFDWDRebQWfnzhm/Vm
QsCjzeZp7eLaLfpm32Qa0WlJBLSBDGc8mhGoIGBATPv60zJjflO50bo2xdEbRLo0MqrvHHPtGtkx
TobuM03NamjSY4+D3deHpyKq2OORwA4LJ3u024qdhaqwY/YjZtE9JpKBX5iZ22mAaJU0wbPtlrtg
APzFsBQlUr4fonpXVqxceCxeU5MtDNu3kwYY4SJEOowuq6FriC4da/ocatZVnvndUm+o802LCTTD
1KMwC4YDHuOkKbRu6DfJn7Yg3DCXvhCjMb9OJRZp4q4NOvrh2jf4pQJJj5ZWdbZqNMH4mWErfDXw
IgGwyoXdJndJKHPSyfO9l8h1wHavd6L1bOh3Xjnnq8zWWpIcJ+Ranr+AP7iv2CmVDoo0t0C26Hh7
jtlnV8rX2hxuTDZSraY/1poERFMeLF9uGrW6wlt6NZrpCiPoOcjm/RyTEaShInBZUE8k2iwCtQij
WQe35SJpdtSaLGRf1k/ouyO1QiPjjWYqItaR7ZpnmQ+8fs5Ltm6G7RP/iq6abVwm5+dWredqh/cB
3nR2diHbuyHGlj6yz8v72EWbp9ZK2lnExi9m8xcU42FKkneDjWBQ8ArM1ZIwVOvCiUxrl/3hNIlV
phaKFZvFMCn9QyhTZjhq7RipBWTXZ/terSSdAZ1sypZSwFDw2Vr2an1phw3Yswr8kVptemrJGbHt
TNTa0x6NJ833X7xJO+V1czIkYj3awDubArcUO1IqCijvOVmdapFqfOxUM7VeLcsY0yDNz3hWQrH4
TOx1BFY+uErVarbXjIOrlrUjHnFNrW9tixt0sp11pla7hG+cwltl2cvWN/SLcoPb4DkPJBvh3iWt
PVZr4iHQ51WjVscNO2SXXXKYpvuW3XKilsxCrZs9tXjW1Ao6/1hGlximpYwPzKVRv/bF2lMra7eo
NjSE65o1/KyW2hNq+43RQqNze6CqbL69xuV6BW8ww85MOZ9nbMgN1P0pG/NWNPZe+9iia+zTUdTe
6bKRJvFNZUzLmntTsg1RYZLNzOo7ZkzTuN46Am55V84GMD1/0MjlouKx772s0D93kMrQrGoOmexV
lbNpDgHi2ZiilnZRrEBsPEYsr9h/hj6vfsgOoWlfyzyDWJBvsAQU8GGTNYOipT5gCQVdKPZZXybb
0ZqLE2yF887waOWxyz8kZiQAierOFj7DYyp85iUBKv9YqyWh682dFjCEmBVvNgjJQPfFdGrN7oWH
AQv+PWGpMxDFKPIS4kFYnSeO+woyokMDE9+3uhYx5na2M+mOe5bXPjLYBBekeUYQJSIiue9D8sJS
/OXpmsIrIvsVtedl7dTJWWMFfFYOvKgsCShBxeSuc68IjkaNgSSh911FJLEQjUvl3xVQeCGnyZNB
+uLSnAfrqR+S/CZDBcIWuRnuGQYN20aroRWHZnfU7QYwgDUwB8FAiFLZxF1CqCS5KsIvnhsx35eF
wx64z3BY2Shiu6Pd3tASgxJIjgSx8CC56bNIgmOLKqkwtIcgj/G41N5W1qH+/07l9c16909L2y9e
LqxeaqV7WUR5e0MLopRx36x9/6X/6Nvd8J9/0Hdb4Feksa3aKQdRkX+3zbV/7H8/ftLHr/JXPyF9
5jfu3lgwC9ilwkYFSIcqCWRVC1jGDMFvXzbtT+x/dYoxqjfnS51GrfjNFfrzr/7n1ff/2X/z3R/w
nyzCXbrt72rYf3Idfvgx310HSBM4ybAOkx1Dbfr9dbA+6SZGeMBCLKMpmVEr/orXQVLi/vR1cBhw
gKCx0WAyBPn+OtifDBN7MzoURiCIA7hMv+J1cJiJ/Ox1ENzxTH88A2Xrh/Pw2+dCkBlkSINUIISq
v+Jz8XVE5v0o7v3bj4b4BD6C7BxEuVIFJHHvf3sp5CcgWA5tHnQ9MhrVHfMr3hK//V5/CHL+9nVQ
5lHWiAzf8DgpRcqP10F4HrcEl4lu6+Mk/SWvw08flc4n2NgMH+0/omy/vR+4TMLS4VQjBP+NHvJr
XYffHw1+wZ89JfhbDZNJLIknUDRU2sl3j4bNlEPqRJ2bElAdUvZf7dH4/VKQ2fKzl4LRuGQwjljr
64n47V0hPqkgGcWTQR9mMXf61S7FF1eD89PXwfkEysbAnI5mArP5j6cEYXNo0zgxqSLwjKsv/1pP
x5fr8F9xP0APsk0M+oC0PoSAPz4ajnQoOv84TH/J6/Dlkf2Jt4YKWKJi0oXHy+PPBbb5iZuBA9PT
dYPQAbVR+hWvg/zpgoqjksmty/aMv5ej94e3p+ClokSoJE3JX/g6OPRHfD4/dT8ITltm3/ii1HSb
D/zbc9IhSwKxJxGWqrrmFftr3g/qTfdz14EXgqdjLUBFzFmJ2ev768DO1DZ4MLgUHJUfeZ2/1nPx
x6vzyxH+c7eECW5NsCeBrsZW5PtLwa5E8U8Yp3r4OT9MdL/opbD/C05L738zdy45bhtBGL5LDkCQ
4lOLGPBjEYzHsDEOsqcsYsyIYxtSaMCzcja5gI+RfU6g3CtfNR8ixbZMpbjopS1NN1nqrsdff1XR
cRsxmES5xaHCsAZ4VCm8c05No5XcgyMaeEB3JCTy9H067SVTbUnFZYgiJXkmzkTqrBwWgCMyKg1g
PMDIiKH/n8FTgbdGmxKgS3Fn0+vZ0auRLqElUAMpsSfThsCizkQResQXobTCJi/aaGeX7kWCL0wF
m9qNSPjF11QbRyk8GnzsM7MRerDNozTkg4QaFDLETrpT6QKKklxSxPVPiLWFVDS2GcToND/3wa0C
SJjmY1cvhjrignlF+/ksXeMxibPAGRt6VJG3WqMi0JYgeg2i6agoJmy2qyEqgg1IaxTVx8CTDRY3
FIXEImHmE3hhZFe06HTzdshwdn4infkEjKBEt1eHQzEEnk+9OfkMKt+Mn+GmGPQmAyoNJEUCLnGY
CK3OlETkSQnfKqOFnuM+tqh57YlAS5LeYUpDFImNHCsJ0CvpEYGvkRKtr+Vjt5REA8skC9wMgOuA
AYeglmKRMUTDq5F4iAcQmzCc2Mt87JYc+rArWSASlzyXT4jZ+I5nkXjoSSQSEGfAmnQ4El8i1gjw
GUkCU2t6DmGDV6JCSO6AZgYMnXTVoVrgYgivO05bWEaAl+HFIBEOBxoPmzDD7YshrVC1ujJFDDGu
AlYSSO7MoQo9/Cnoo37mh+JGOKorpdm8Vg4CywBPgTiQ8pfus8Mjgd8ZAfLTWL/hqTb7ORR09boy
WsB8ArwQdYJiZxCH4zOzkXormjiS9pPpSlQDOofL9KIIFxBFBkMCJ9qmLsn4xZSOJODcNMIiAHXN
jzgJQn095Edfi/lcoyIaDsTwekRevIqbnIbB8Rz1I2RYhk5NkNkAyacDPt4CQ2vP1WUEw8pn/jPE
CYJ1047aUVFMGnhfHX8CO5DgBaej+wcIleBQwyORIKmIfiFAEhQw0b7btdvRJj/VOgKviRlzCbFE
OyllLIeVhwsBlSwiGkFVtBbbIcvRRhtqlCqlKC6VBCe5/3AFMWAsB2EWxTAkwAZTCTfcPA764BMx
oBiIIghALaQ6yGS4EZhNksAkgl0FLbPmuipgGVEPIA7ChJnohsAj20ETcB/0ysjBtcNgrXPSWg4i
cIGzCbsIRcVbGKrLwMsSDg3kIX9FQjhuYpxZamLGl3qW8vP3ZbU1JOayONhozN/7QgfRTT9vubum
Wygc5dEXpbNVs3dhiNPy7ycjYq7hFw8+7PjGZp/2z9sXnG492qt7q+4/f5F+WPt377+YD760jylN
v37+6fh1O2tAqaGNnZ5u0qSrPxKXNnuR1/c5TXGqw5DP3TtnQtrUbsGsyE357195t5L8GP0G0gRV
u8HN8dsu31ysDTztB8qv3q+okNmM+WcCnGo3O/5T7OZttsCb3R7//jyvSl1skfbVXh3/3NefZgxi
EYhNu9nrKi/nDH0RH0i7193x22Oxm7ObBMTq3a4aaNyruv+nL97mVX65DLe/ahLhat/tbV5Xu31+
+GPGvGZpGaje76rRhlpZXjeJSLnb9U0o1BtWu5HSPznz2p/prry3rbzAAXha0Z/2Q9GdpFObcZm5
pH3sHzTCVMr7eXEoR1a8lTfesvbBX+Xbjx9sEscT1K7NxKQN47i6hQYSX8B6Psurz+V0aWFXa5/7
tt4+WkQixEzt0neFMR/dQieRSMmLdvGXqNMKj6JbabA6YbZ29Tf7oqxsEl/gbtp91eaUS7pI++xP
Gfq1z+tdZTmMgiRr1399v7etvMAdui0fNvmjTeyL3KH6YFPkQs3XiuTFx01hE7dAMNq1cVW2tUUh
Zgsc85f0qbXaIOHNax/813pXP9gefIEzfmmIhtL+/MZ7G9ewk8BJswhio5XKbVl8yn+3qC1h6WgX
v6n3D3i23ULmyU9MQe3qvWSu7F2j/EFumjh1+FICeCUxeRJTAQX/X4iQl1/PBnD0lddT2KOrurb9
2RjTkW+8q4p8/+Q/AAAA//8=</cx:binary>
              </cx:geoCache>
            </cx:geography>
          </cx:layoutPr>
        </cx:series>
      </cx:plotAreaRegion>
    </cx:plotArea>
    <cx:legend pos="r" align="min" overlay="0">
      <cx:txPr>
        <a:bodyPr spcFirstLastPara="1" vertOverflow="ellipsis" horzOverflow="overflow" wrap="square" lIns="0" tIns="0" rIns="0" bIns="0" anchor="ctr" anchorCtr="1"/>
        <a:lstStyle/>
        <a:p>
          <a:pPr algn="ctr" rtl="0">
            <a:defRPr sz="1100"/>
          </a:pPr>
          <a:endParaRPr lang="en-US" sz="1100" b="0" i="0" u="none" strike="noStrike" baseline="0">
            <a:solidFill>
              <a:sysClr val="windowText" lastClr="000000">
                <a:lumMod val="65000"/>
                <a:lumOff val="35000"/>
              </a:sysClr>
            </a:solidFill>
            <a:latin typeface="Calibri" panose="020F0502020204030204"/>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png"/><Relationship Id="rId2" Type="http://schemas.openxmlformats.org/officeDocument/2006/relationships/image" Target="../media/image1.png"/><Relationship Id="rId1" Type="http://schemas.microsoft.com/office/2014/relationships/chartEx" Target="../charts/chartEx2.xml"/><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png"/><Relationship Id="rId9" Type="http://schemas.openxmlformats.org/officeDocument/2006/relationships/image" Target="../media/image8.png"/><Relationship Id="rId14" Type="http://schemas.microsoft.com/office/2014/relationships/chartEx" Target="../charts/chartEx3.xml"/></Relationships>
</file>

<file path=xl/drawings/drawing1.xml><?xml version="1.0" encoding="utf-8"?>
<xdr:wsDr xmlns:xdr="http://schemas.openxmlformats.org/drawingml/2006/spreadsheetDrawing" xmlns:a="http://schemas.openxmlformats.org/drawingml/2006/main">
  <xdr:twoCellAnchor>
    <xdr:from>
      <xdr:col>29</xdr:col>
      <xdr:colOff>231513</xdr:colOff>
      <xdr:row>133</xdr:row>
      <xdr:rowOff>55620</xdr:rowOff>
    </xdr:from>
    <xdr:to>
      <xdr:col>36</xdr:col>
      <xdr:colOff>235323</xdr:colOff>
      <xdr:row>148</xdr:row>
      <xdr:rowOff>11239</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530225</xdr:colOff>
      <xdr:row>9</xdr:row>
      <xdr:rowOff>160020</xdr:rowOff>
    </xdr:from>
    <xdr:to>
      <xdr:col>7</xdr:col>
      <xdr:colOff>605790</xdr:colOff>
      <xdr:row>25</xdr:row>
      <xdr:rowOff>1905</xdr:rowOff>
    </xdr:to>
    <xdr:graphicFrame macro="">
      <xdr:nvGraphicFramePr>
        <xdr:cNvPr id="6" name="Chart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521451</xdr:colOff>
      <xdr:row>196</xdr:row>
      <xdr:rowOff>684842</xdr:rowOff>
    </xdr:from>
    <xdr:to>
      <xdr:col>15</xdr:col>
      <xdr:colOff>155864</xdr:colOff>
      <xdr:row>237</xdr:row>
      <xdr:rowOff>133176</xdr:rowOff>
    </xdr:to>
    <mc:AlternateContent xmlns:mc="http://schemas.openxmlformats.org/markup-compatibility/2006">
      <mc:Choice xmlns:cx4="http://schemas.microsoft.com/office/drawing/2016/5/10/chartex" Requires="cx4">
        <xdr:graphicFrame macro="">
          <xdr:nvGraphicFramePr>
            <xdr:cNvPr id="2" name="Chart 1">
              <a:extLst>
                <a:ext uri="{FF2B5EF4-FFF2-40B4-BE49-F238E27FC236}">
                  <a16:creationId xmlns:a16="http://schemas.microsoft.com/office/drawing/2014/main" id="{456F19E8-3FAC-46DF-B4B6-6F903D0DAA2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5176001" y="13346742"/>
              <a:ext cx="11483513" cy="7652534"/>
            </a:xfrm>
            <a:prstGeom prst="rect">
              <a:avLst/>
            </a:prstGeom>
            <a:solidFill>
              <a:prstClr val="white"/>
            </a:solidFill>
            <a:ln w="1">
              <a:solidFill>
                <a:prstClr val="green"/>
              </a:solidFill>
            </a:ln>
          </xdr:spPr>
          <xdr:txBody>
            <a:bodyPr vertOverflow="clip" horzOverflow="clip"/>
            <a:lstStyle/>
            <a:p>
              <a:r>
                <a:rPr lang="lv-LV"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375497</xdr:colOff>
      <xdr:row>2</xdr:row>
      <xdr:rowOff>115730</xdr:rowOff>
    </xdr:from>
    <xdr:to>
      <xdr:col>24</xdr:col>
      <xdr:colOff>79166</xdr:colOff>
      <xdr:row>44</xdr:row>
      <xdr:rowOff>146862</xdr:rowOff>
    </xdr:to>
    <xdr:grpSp>
      <xdr:nvGrpSpPr>
        <xdr:cNvPr id="59" name="Group 58">
          <a:extLst>
            <a:ext uri="{FF2B5EF4-FFF2-40B4-BE49-F238E27FC236}">
              <a16:creationId xmlns:a16="http://schemas.microsoft.com/office/drawing/2014/main" id="{00000000-0008-0000-0800-00003B000000}"/>
            </a:ext>
          </a:extLst>
        </xdr:cNvPr>
        <xdr:cNvGrpSpPr/>
      </xdr:nvGrpSpPr>
      <xdr:grpSpPr>
        <a:xfrm>
          <a:off x="5219640" y="641873"/>
          <a:ext cx="12367383" cy="7651132"/>
          <a:chOff x="8562911" y="3772112"/>
          <a:chExt cx="12164575" cy="8039136"/>
        </a:xfrm>
      </xdr:grpSpPr>
      <mc:AlternateContent xmlns:mc="http://schemas.openxmlformats.org/markup-compatibility/2006">
        <mc:Choice xmlns:cx4="http://schemas.microsoft.com/office/drawing/2016/5/10/chartex" Requires="cx4">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8562911" y="3772112"/>
              <a:ext cx="12054495" cy="8039136"/>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8562911" y="3772112"/>
                <a:ext cx="12054495" cy="8039136"/>
              </a:xfrm>
              <a:prstGeom prst="rect">
                <a:avLst/>
              </a:prstGeom>
              <a:solidFill>
                <a:prstClr val="white"/>
              </a:solidFill>
              <a:ln w="1">
                <a:solidFill>
                  <a:prstClr val="green"/>
                </a:solidFill>
              </a:ln>
            </xdr:spPr>
            <xdr:txBody>
              <a:bodyPr vertOverflow="clip" horzOverflow="clip"/>
              <a:lstStyle/>
              <a:p>
                <a:r>
                  <a:rPr lang="lv-LV" sz="1100"/>
                  <a:t>This chart isn't available in your version of Excel.
Editing this shape or saving this workbook into a different file format will permanently break the chart.</a:t>
                </a:r>
              </a:p>
            </xdr:txBody>
          </xdr:sp>
        </mc:Fallback>
      </mc:AlternateContent>
      <xdr:sp macro="" textlink="">
        <xdr:nvSpPr>
          <xdr:cNvPr id="2" name="Rectangle 1">
            <a:extLst>
              <a:ext uri="{FF2B5EF4-FFF2-40B4-BE49-F238E27FC236}">
                <a16:creationId xmlns:a16="http://schemas.microsoft.com/office/drawing/2014/main" id="{00000000-0008-0000-0800-000002000000}"/>
              </a:ext>
            </a:extLst>
          </xdr:cNvPr>
          <xdr:cNvSpPr/>
        </xdr:nvSpPr>
        <xdr:spPr>
          <a:xfrm>
            <a:off x="17671600" y="11546262"/>
            <a:ext cx="1522580" cy="24480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24" name="Picture 23" descr="A close up of a logo&#10;&#10;Description automatically generated">
            <a:extLst>
              <a:ext uri="{FF2B5EF4-FFF2-40B4-BE49-F238E27FC236}">
                <a16:creationId xmlns:a16="http://schemas.microsoft.com/office/drawing/2014/main" id="{00000000-0008-0000-08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10337" y="8308056"/>
            <a:ext cx="221883" cy="246049"/>
          </a:xfrm>
          <a:prstGeom prst="rect">
            <a:avLst/>
          </a:prstGeom>
        </xdr:spPr>
      </xdr:pic>
      <xdr:pic>
        <xdr:nvPicPr>
          <xdr:cNvPr id="26" name="Picture 25" descr="A close up of a logo&#10;&#10;Description automatically generated">
            <a:extLst>
              <a:ext uri="{FF2B5EF4-FFF2-40B4-BE49-F238E27FC236}">
                <a16:creationId xmlns:a16="http://schemas.microsoft.com/office/drawing/2014/main" id="{00000000-0008-0000-0800-00001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94946" y="6127261"/>
            <a:ext cx="228861" cy="238306"/>
          </a:xfrm>
          <a:prstGeom prst="rect">
            <a:avLst/>
          </a:prstGeom>
        </xdr:spPr>
      </xdr:pic>
      <xdr:pic>
        <xdr:nvPicPr>
          <xdr:cNvPr id="27" name="Picture 26" descr="A close up of a logo&#10;&#10;Description automatically generated">
            <a:extLst>
              <a:ext uri="{FF2B5EF4-FFF2-40B4-BE49-F238E27FC236}">
                <a16:creationId xmlns:a16="http://schemas.microsoft.com/office/drawing/2014/main" id="{00000000-0008-0000-08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369817" y="7440089"/>
            <a:ext cx="211763" cy="236309"/>
          </a:xfrm>
          <a:prstGeom prst="rect">
            <a:avLst/>
          </a:prstGeom>
        </xdr:spPr>
      </xdr:pic>
      <xdr:pic>
        <xdr:nvPicPr>
          <xdr:cNvPr id="28" name="Picture 27" descr="A close up of a logo&#10;&#10;Description automatically generated">
            <a:extLst>
              <a:ext uri="{FF2B5EF4-FFF2-40B4-BE49-F238E27FC236}">
                <a16:creationId xmlns:a16="http://schemas.microsoft.com/office/drawing/2014/main" id="{00000000-0008-0000-0800-00001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2611" y="8150401"/>
            <a:ext cx="239392" cy="259936"/>
          </a:xfrm>
          <a:prstGeom prst="rect">
            <a:avLst/>
          </a:prstGeom>
        </xdr:spPr>
      </xdr:pic>
      <xdr:pic>
        <xdr:nvPicPr>
          <xdr:cNvPr id="30" name="Picture 29" descr="A close up of a logo&#10;&#10;Description automatically generated">
            <a:extLst>
              <a:ext uri="{FF2B5EF4-FFF2-40B4-BE49-F238E27FC236}">
                <a16:creationId xmlns:a16="http://schemas.microsoft.com/office/drawing/2014/main" id="{00000000-0008-0000-0800-00001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661797" y="10590224"/>
            <a:ext cx="223656" cy="267986"/>
          </a:xfrm>
          <a:prstGeom prst="rect">
            <a:avLst/>
          </a:prstGeom>
        </xdr:spPr>
      </xdr:pic>
      <xdr:sp macro="" textlink="">
        <xdr:nvSpPr>
          <xdr:cNvPr id="34" name="TextBox 52">
            <a:extLst>
              <a:ext uri="{FF2B5EF4-FFF2-40B4-BE49-F238E27FC236}">
                <a16:creationId xmlns:a16="http://schemas.microsoft.com/office/drawing/2014/main" id="{00000000-0008-0000-0800-000022000000}"/>
              </a:ext>
            </a:extLst>
          </xdr:cNvPr>
          <xdr:cNvSpPr txBox="1"/>
        </xdr:nvSpPr>
        <xdr:spPr>
          <a:xfrm>
            <a:off x="16885858" y="6245960"/>
            <a:ext cx="1403583" cy="290352"/>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"Kaudzītes"</a:t>
            </a:r>
            <a:endParaRPr lang="lv-LV" sz="1200"/>
          </a:p>
        </xdr:txBody>
      </xdr:sp>
      <xdr:sp macro="" textlink="">
        <xdr:nvSpPr>
          <xdr:cNvPr id="35" name="TextBox 53">
            <a:extLst>
              <a:ext uri="{FF2B5EF4-FFF2-40B4-BE49-F238E27FC236}">
                <a16:creationId xmlns:a16="http://schemas.microsoft.com/office/drawing/2014/main" id="{00000000-0008-0000-0800-000023000000}"/>
              </a:ext>
            </a:extLst>
          </xdr:cNvPr>
          <xdr:cNvSpPr txBox="1"/>
        </xdr:nvSpPr>
        <xdr:spPr>
          <a:xfrm>
            <a:off x="17328932" y="8778568"/>
            <a:ext cx="917635" cy="286284"/>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Križevņiki</a:t>
            </a:r>
            <a:r>
              <a:rPr lang="en-US" sz="1200"/>
              <a:t>"</a:t>
            </a:r>
            <a:endParaRPr lang="lv-LV" sz="1200"/>
          </a:p>
        </xdr:txBody>
      </xdr:sp>
      <xdr:sp macro="" textlink="">
        <xdr:nvSpPr>
          <xdr:cNvPr id="36" name="TextBox 54">
            <a:extLst>
              <a:ext uri="{FF2B5EF4-FFF2-40B4-BE49-F238E27FC236}">
                <a16:creationId xmlns:a16="http://schemas.microsoft.com/office/drawing/2014/main" id="{00000000-0008-0000-0800-000024000000}"/>
              </a:ext>
            </a:extLst>
          </xdr:cNvPr>
          <xdr:cNvSpPr txBox="1"/>
        </xdr:nvSpPr>
        <xdr:spPr>
          <a:xfrm>
            <a:off x="16394692" y="10211276"/>
            <a:ext cx="1008455" cy="27446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Cinīši</a:t>
            </a:r>
            <a:r>
              <a:rPr lang="en-US" sz="1200"/>
              <a:t>"</a:t>
            </a:r>
            <a:endParaRPr lang="lv-LV" sz="1200"/>
          </a:p>
        </xdr:txBody>
      </xdr:sp>
      <xdr:sp macro="" textlink="">
        <xdr:nvSpPr>
          <xdr:cNvPr id="37" name="TextBox 55">
            <a:extLst>
              <a:ext uri="{FF2B5EF4-FFF2-40B4-BE49-F238E27FC236}">
                <a16:creationId xmlns:a16="http://schemas.microsoft.com/office/drawing/2014/main" id="{00000000-0008-0000-0800-000025000000}"/>
              </a:ext>
            </a:extLst>
          </xdr:cNvPr>
          <xdr:cNvSpPr txBox="1"/>
        </xdr:nvSpPr>
        <xdr:spPr>
          <a:xfrm>
            <a:off x="8599923" y="7985757"/>
            <a:ext cx="823666" cy="322231"/>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Ķīvītes</a:t>
            </a:r>
            <a:r>
              <a:rPr lang="en-US" sz="1200"/>
              <a:t>"</a:t>
            </a:r>
            <a:endParaRPr lang="lv-LV" sz="1200"/>
          </a:p>
        </xdr:txBody>
      </xdr:sp>
      <xdr:sp macro="" textlink="">
        <xdr:nvSpPr>
          <xdr:cNvPr id="38" name="TextBox 56">
            <a:extLst>
              <a:ext uri="{FF2B5EF4-FFF2-40B4-BE49-F238E27FC236}">
                <a16:creationId xmlns:a16="http://schemas.microsoft.com/office/drawing/2014/main" id="{00000000-0008-0000-0800-000026000000}"/>
              </a:ext>
            </a:extLst>
          </xdr:cNvPr>
          <xdr:cNvSpPr txBox="1"/>
        </xdr:nvSpPr>
        <xdr:spPr>
          <a:xfrm>
            <a:off x="9154703" y="5959691"/>
            <a:ext cx="850212" cy="30201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Pentuļi</a:t>
            </a:r>
            <a:r>
              <a:rPr lang="en-US" sz="1200"/>
              <a:t>"</a:t>
            </a:r>
            <a:endParaRPr lang="lv-LV" sz="1200"/>
          </a:p>
        </xdr:txBody>
      </xdr:sp>
      <xdr:sp macro="" textlink="">
        <xdr:nvSpPr>
          <xdr:cNvPr id="39" name="TextBox 57">
            <a:extLst>
              <a:ext uri="{FF2B5EF4-FFF2-40B4-BE49-F238E27FC236}">
                <a16:creationId xmlns:a16="http://schemas.microsoft.com/office/drawing/2014/main" id="{00000000-0008-0000-0800-000027000000}"/>
              </a:ext>
            </a:extLst>
          </xdr:cNvPr>
          <xdr:cNvSpPr txBox="1"/>
        </xdr:nvSpPr>
        <xdr:spPr>
          <a:xfrm>
            <a:off x="14259012" y="5652104"/>
            <a:ext cx="739861" cy="291736"/>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Daibe</a:t>
            </a:r>
            <a:r>
              <a:rPr lang="en-US" sz="1200"/>
              <a:t>"</a:t>
            </a:r>
            <a:endParaRPr lang="lv-LV" sz="1200"/>
          </a:p>
        </xdr:txBody>
      </xdr:sp>
      <xdr:sp macro="" textlink="">
        <xdr:nvSpPr>
          <xdr:cNvPr id="40" name="TextBox 58">
            <a:extLst>
              <a:ext uri="{FF2B5EF4-FFF2-40B4-BE49-F238E27FC236}">
                <a16:creationId xmlns:a16="http://schemas.microsoft.com/office/drawing/2014/main" id="{00000000-0008-0000-0800-000028000000}"/>
              </a:ext>
            </a:extLst>
          </xdr:cNvPr>
          <xdr:cNvSpPr txBox="1"/>
        </xdr:nvSpPr>
        <xdr:spPr>
          <a:xfrm>
            <a:off x="13146524" y="7182059"/>
            <a:ext cx="885846" cy="303627"/>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Getliņi</a:t>
            </a:r>
            <a:r>
              <a:rPr lang="en-US" sz="1200"/>
              <a:t>"</a:t>
            </a:r>
            <a:endParaRPr lang="lv-LV" sz="1200"/>
          </a:p>
        </xdr:txBody>
      </xdr:sp>
      <xdr:sp macro="" textlink="">
        <xdr:nvSpPr>
          <xdr:cNvPr id="41" name="TextBox 59">
            <a:extLst>
              <a:ext uri="{FF2B5EF4-FFF2-40B4-BE49-F238E27FC236}">
                <a16:creationId xmlns:a16="http://schemas.microsoft.com/office/drawing/2014/main" id="{00000000-0008-0000-0800-000029000000}"/>
              </a:ext>
            </a:extLst>
          </xdr:cNvPr>
          <xdr:cNvSpPr txBox="1"/>
        </xdr:nvSpPr>
        <xdr:spPr>
          <a:xfrm>
            <a:off x="12059236" y="7860061"/>
            <a:ext cx="1382182" cy="323710"/>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Brakšķi</a:t>
            </a:r>
            <a:r>
              <a:rPr lang="en-US" sz="1200"/>
              <a:t>"</a:t>
            </a:r>
            <a:endParaRPr lang="lv-LV" sz="1200"/>
          </a:p>
        </xdr:txBody>
      </xdr:sp>
      <xdr:sp macro="" textlink="">
        <xdr:nvSpPr>
          <xdr:cNvPr id="43" name="TextBox 61">
            <a:extLst>
              <a:ext uri="{FF2B5EF4-FFF2-40B4-BE49-F238E27FC236}">
                <a16:creationId xmlns:a16="http://schemas.microsoft.com/office/drawing/2014/main" id="{00000000-0008-0000-0800-00002B000000}"/>
              </a:ext>
            </a:extLst>
          </xdr:cNvPr>
          <xdr:cNvSpPr txBox="1"/>
        </xdr:nvSpPr>
        <xdr:spPr>
          <a:xfrm>
            <a:off x="10670311" y="5764326"/>
            <a:ext cx="827530" cy="295657"/>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Janvāri</a:t>
            </a:r>
            <a:r>
              <a:rPr lang="en-US" sz="1200"/>
              <a:t>"</a:t>
            </a:r>
            <a:endParaRPr lang="lv-LV" sz="1200"/>
          </a:p>
        </xdr:txBody>
      </xdr:sp>
      <xdr:sp macro="" textlink="">
        <xdr:nvSpPr>
          <xdr:cNvPr id="45" name="TextBox 63">
            <a:extLst>
              <a:ext uri="{FF2B5EF4-FFF2-40B4-BE49-F238E27FC236}">
                <a16:creationId xmlns:a16="http://schemas.microsoft.com/office/drawing/2014/main" id="{00000000-0008-0000-0800-00002D000000}"/>
              </a:ext>
            </a:extLst>
          </xdr:cNvPr>
          <xdr:cNvSpPr txBox="1"/>
        </xdr:nvSpPr>
        <xdr:spPr>
          <a:xfrm>
            <a:off x="15542509" y="8058227"/>
            <a:ext cx="943411" cy="311816"/>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Dziļā vāda</a:t>
            </a:r>
            <a:r>
              <a:rPr lang="en-US" sz="1200"/>
              <a:t>"</a:t>
            </a:r>
            <a:endParaRPr lang="lv-LV" sz="1200"/>
          </a:p>
        </xdr:txBody>
      </xdr:sp>
      <xdr:sp macro="" textlink="">
        <xdr:nvSpPr>
          <xdr:cNvPr id="47" name="TextBox 131">
            <a:extLst>
              <a:ext uri="{FF2B5EF4-FFF2-40B4-BE49-F238E27FC236}">
                <a16:creationId xmlns:a16="http://schemas.microsoft.com/office/drawing/2014/main" id="{00000000-0008-0000-0800-00002F000000}"/>
              </a:ext>
            </a:extLst>
          </xdr:cNvPr>
          <xdr:cNvSpPr txBox="1"/>
        </xdr:nvSpPr>
        <xdr:spPr>
          <a:xfrm>
            <a:off x="19403056" y="5104583"/>
            <a:ext cx="1322799" cy="468339"/>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Sadzīves atkritumu </a:t>
            </a:r>
          </a:p>
          <a:p>
            <a:r>
              <a:rPr lang="lv-LV" sz="1100">
                <a:solidFill>
                  <a:schemeClr val="tx1">
                    <a:lumMod val="75000"/>
                    <a:lumOff val="25000"/>
                  </a:schemeClr>
                </a:solidFill>
              </a:rPr>
              <a:t>poligoni</a:t>
            </a:r>
          </a:p>
        </xdr:txBody>
      </xdr:sp>
      <xdr:pic>
        <xdr:nvPicPr>
          <xdr:cNvPr id="48" name="Picture 47" descr="A close up of a logo&#10;&#10;Description automatically generated">
            <a:extLst>
              <a:ext uri="{FF2B5EF4-FFF2-40B4-BE49-F238E27FC236}">
                <a16:creationId xmlns:a16="http://schemas.microsoft.com/office/drawing/2014/main" id="{00000000-0008-0000-08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470598" y="5984311"/>
            <a:ext cx="225527" cy="256237"/>
          </a:xfrm>
          <a:prstGeom prst="rect">
            <a:avLst/>
          </a:prstGeom>
        </xdr:spPr>
      </xdr:pic>
      <xdr:pic>
        <xdr:nvPicPr>
          <xdr:cNvPr id="50" name="Picture 49" descr="A picture containing drawing&#10;&#10;Description automatically generated">
            <a:extLst>
              <a:ext uri="{FF2B5EF4-FFF2-40B4-BE49-F238E27FC236}">
                <a16:creationId xmlns:a16="http://schemas.microsoft.com/office/drawing/2014/main" id="{00000000-0008-0000-0800-00003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9285838" y="5597231"/>
            <a:ext cx="205120" cy="199934"/>
          </a:xfrm>
          <a:prstGeom prst="rect">
            <a:avLst/>
          </a:prstGeom>
        </xdr:spPr>
      </xdr:pic>
      <xdr:pic>
        <xdr:nvPicPr>
          <xdr:cNvPr id="51" name="Picture 50" descr="A picture containing drawing&#10;&#10;Description automatically generated">
            <a:extLst>
              <a:ext uri="{FF2B5EF4-FFF2-40B4-BE49-F238E27FC236}">
                <a16:creationId xmlns:a16="http://schemas.microsoft.com/office/drawing/2014/main" id="{00000000-0008-0000-0800-00003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202011" y="6518449"/>
            <a:ext cx="265268" cy="269452"/>
          </a:xfrm>
          <a:prstGeom prst="rect">
            <a:avLst/>
          </a:prstGeom>
        </xdr:spPr>
      </xdr:pic>
      <xdr:pic>
        <xdr:nvPicPr>
          <xdr:cNvPr id="52" name="Picture 51" descr="A picture containing drawing&#10;&#10;Description automatically generated">
            <a:extLst>
              <a:ext uri="{FF2B5EF4-FFF2-40B4-BE49-F238E27FC236}">
                <a16:creationId xmlns:a16="http://schemas.microsoft.com/office/drawing/2014/main" id="{00000000-0008-0000-0800-00003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7566828" y="9064305"/>
            <a:ext cx="301719" cy="309480"/>
          </a:xfrm>
          <a:prstGeom prst="rect">
            <a:avLst/>
          </a:prstGeom>
        </xdr:spPr>
      </xdr:pic>
      <xdr:pic>
        <xdr:nvPicPr>
          <xdr:cNvPr id="53" name="Picture 52" descr="A picture containing drawing&#10;&#10;Description automatically generated">
            <a:extLst>
              <a:ext uri="{FF2B5EF4-FFF2-40B4-BE49-F238E27FC236}">
                <a16:creationId xmlns:a16="http://schemas.microsoft.com/office/drawing/2014/main" id="{00000000-0008-0000-0800-000035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737550" y="8340825"/>
            <a:ext cx="301156" cy="311110"/>
          </a:xfrm>
          <a:prstGeom prst="rect">
            <a:avLst/>
          </a:prstGeom>
        </xdr:spPr>
      </xdr:pic>
      <xdr:pic>
        <xdr:nvPicPr>
          <xdr:cNvPr id="54" name="Picture 53" descr="A picture containing drawing&#10;&#10;Description automatically generated">
            <a:extLst>
              <a:ext uri="{FF2B5EF4-FFF2-40B4-BE49-F238E27FC236}">
                <a16:creationId xmlns:a16="http://schemas.microsoft.com/office/drawing/2014/main" id="{00000000-0008-0000-0800-000036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410796" y="6245122"/>
            <a:ext cx="284243" cy="291690"/>
          </a:xfrm>
          <a:prstGeom prst="rect">
            <a:avLst/>
          </a:prstGeom>
        </xdr:spPr>
      </xdr:pic>
      <xdr:sp macro="" textlink="">
        <xdr:nvSpPr>
          <xdr:cNvPr id="55" name="TextBox 131">
            <a:extLst>
              <a:ext uri="{FF2B5EF4-FFF2-40B4-BE49-F238E27FC236}">
                <a16:creationId xmlns:a16="http://schemas.microsoft.com/office/drawing/2014/main" id="{00000000-0008-0000-0800-000037000000}"/>
              </a:ext>
            </a:extLst>
          </xdr:cNvPr>
          <xdr:cNvSpPr txBox="1"/>
        </xdr:nvSpPr>
        <xdr:spPr>
          <a:xfrm>
            <a:off x="19404489" y="5543941"/>
            <a:ext cx="1322997" cy="387444"/>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Reģionālie atkritumu apsaimniekošanas centri</a:t>
            </a:r>
          </a:p>
        </xdr:txBody>
      </xdr:sp>
      <xdr:pic>
        <xdr:nvPicPr>
          <xdr:cNvPr id="58" name="Picture 57" descr="A close up of a logo&#10;&#10;Description automatically generated">
            <a:extLst>
              <a:ext uri="{FF2B5EF4-FFF2-40B4-BE49-F238E27FC236}">
                <a16:creationId xmlns:a16="http://schemas.microsoft.com/office/drawing/2014/main" id="{00000000-0008-0000-0800-00003A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9263282" y="5164726"/>
            <a:ext cx="203148" cy="206285"/>
          </a:xfrm>
          <a:prstGeom prst="rect">
            <a:avLst/>
          </a:prstGeom>
        </xdr:spPr>
      </xdr:pic>
    </xdr:grpSp>
    <xdr:clientData/>
  </xdr:twoCellAnchor>
  <xdr:twoCellAnchor>
    <xdr:from>
      <xdr:col>4</xdr:col>
      <xdr:colOff>280247</xdr:colOff>
      <xdr:row>50</xdr:row>
      <xdr:rowOff>142944</xdr:rowOff>
    </xdr:from>
    <xdr:to>
      <xdr:col>24</xdr:col>
      <xdr:colOff>106390</xdr:colOff>
      <xdr:row>92</xdr:row>
      <xdr:rowOff>166456</xdr:rowOff>
    </xdr:to>
    <xdr:grpSp>
      <xdr:nvGrpSpPr>
        <xdr:cNvPr id="29" name="Group 28">
          <a:extLst>
            <a:ext uri="{FF2B5EF4-FFF2-40B4-BE49-F238E27FC236}">
              <a16:creationId xmlns:a16="http://schemas.microsoft.com/office/drawing/2014/main" id="{C83E5D3A-FFCE-4349-A96C-B831E7C36642}"/>
            </a:ext>
          </a:extLst>
        </xdr:cNvPr>
        <xdr:cNvGrpSpPr/>
      </xdr:nvGrpSpPr>
      <xdr:grpSpPr>
        <a:xfrm>
          <a:off x="5124390" y="9522801"/>
          <a:ext cx="12489857" cy="7643512"/>
          <a:chOff x="8562911" y="3772112"/>
          <a:chExt cx="12272332" cy="8039136"/>
        </a:xfrm>
      </xdr:grpSpPr>
      <mc:AlternateContent xmlns:mc="http://schemas.openxmlformats.org/markup-compatibility/2006">
        <mc:Choice xmlns:cx4="http://schemas.microsoft.com/office/drawing/2016/5/10/chartex" Requires="cx4">
          <xdr:graphicFrame macro="">
            <xdr:nvGraphicFramePr>
              <xdr:cNvPr id="31" name="Chart 30">
                <a:extLst>
                  <a:ext uri="{FF2B5EF4-FFF2-40B4-BE49-F238E27FC236}">
                    <a16:creationId xmlns:a16="http://schemas.microsoft.com/office/drawing/2014/main" id="{608E38F4-EFB1-4566-9D14-69F13D1093FB}"/>
                  </a:ext>
                </a:extLst>
              </xdr:cNvPr>
              <xdr:cNvGraphicFramePr/>
            </xdr:nvGraphicFramePr>
            <xdr:xfrm>
              <a:off x="8562911" y="3772112"/>
              <a:ext cx="12054495" cy="8039136"/>
            </xdr:xfrm>
            <a:graphic>
              <a:graphicData uri="http://schemas.microsoft.com/office/drawing/2014/chartex">
                <cx:chart xmlns:cx="http://schemas.microsoft.com/office/drawing/2014/chartex" xmlns:r="http://schemas.openxmlformats.org/officeDocument/2006/relationships" r:id="rId14"/>
              </a:graphicData>
            </a:graphic>
          </xdr:graphicFrame>
        </mc:Choice>
        <mc:Fallback>
          <xdr:sp macro="" textlink="">
            <xdr:nvSpPr>
              <xdr:cNvPr id="0" name=""/>
              <xdr:cNvSpPr>
                <a:spLocks noTextEdit="1"/>
              </xdr:cNvSpPr>
            </xdr:nvSpPr>
            <xdr:spPr>
              <a:xfrm>
                <a:off x="8562911" y="3772112"/>
                <a:ext cx="12054495" cy="8039136"/>
              </a:xfrm>
              <a:prstGeom prst="rect">
                <a:avLst/>
              </a:prstGeom>
              <a:solidFill>
                <a:prstClr val="white"/>
              </a:solidFill>
              <a:ln w="1">
                <a:solidFill>
                  <a:prstClr val="green"/>
                </a:solidFill>
              </a:ln>
            </xdr:spPr>
            <xdr:txBody>
              <a:bodyPr vertOverflow="clip" horzOverflow="clip"/>
              <a:lstStyle/>
              <a:p>
                <a:r>
                  <a:rPr lang="lv-LV" sz="1100"/>
                  <a:t>This chart isn't available in your version of Excel.
Editing this shape or saving this workbook into a different file format will permanently break the chart.</a:t>
                </a:r>
              </a:p>
            </xdr:txBody>
          </xdr:sp>
        </mc:Fallback>
      </mc:AlternateContent>
      <xdr:sp macro="" textlink="">
        <xdr:nvSpPr>
          <xdr:cNvPr id="32" name="Rectangle 31">
            <a:extLst>
              <a:ext uri="{FF2B5EF4-FFF2-40B4-BE49-F238E27FC236}">
                <a16:creationId xmlns:a16="http://schemas.microsoft.com/office/drawing/2014/main" id="{63DFA7C0-D3E3-4773-92AB-C7D998EBC7AB}"/>
              </a:ext>
            </a:extLst>
          </xdr:cNvPr>
          <xdr:cNvSpPr/>
        </xdr:nvSpPr>
        <xdr:spPr>
          <a:xfrm>
            <a:off x="17780886" y="11546262"/>
            <a:ext cx="1522580" cy="24480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33" name="Picture 32" descr="A close up of a logo&#10;&#10;Description automatically generated">
            <a:extLst>
              <a:ext uri="{FF2B5EF4-FFF2-40B4-BE49-F238E27FC236}">
                <a16:creationId xmlns:a16="http://schemas.microsoft.com/office/drawing/2014/main" id="{96D94168-877E-440A-B7B4-BCA4627D50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10337" y="8308056"/>
            <a:ext cx="221883" cy="246049"/>
          </a:xfrm>
          <a:prstGeom prst="rect">
            <a:avLst/>
          </a:prstGeom>
        </xdr:spPr>
      </xdr:pic>
      <xdr:pic>
        <xdr:nvPicPr>
          <xdr:cNvPr id="42" name="Picture 41" descr="A close up of a logo&#10;&#10;Description automatically generated">
            <a:extLst>
              <a:ext uri="{FF2B5EF4-FFF2-40B4-BE49-F238E27FC236}">
                <a16:creationId xmlns:a16="http://schemas.microsoft.com/office/drawing/2014/main" id="{4227ED88-120B-4AFD-97F4-36A853CDE3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94946" y="6127261"/>
            <a:ext cx="228861" cy="238306"/>
          </a:xfrm>
          <a:prstGeom prst="rect">
            <a:avLst/>
          </a:prstGeom>
        </xdr:spPr>
      </xdr:pic>
      <xdr:pic>
        <xdr:nvPicPr>
          <xdr:cNvPr id="44" name="Picture 43" descr="A close up of a logo&#10;&#10;Description automatically generated">
            <a:extLst>
              <a:ext uri="{FF2B5EF4-FFF2-40B4-BE49-F238E27FC236}">
                <a16:creationId xmlns:a16="http://schemas.microsoft.com/office/drawing/2014/main" id="{3A069DDC-367F-4023-8DF0-D358B16EF96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369817" y="7440089"/>
            <a:ext cx="211763" cy="236309"/>
          </a:xfrm>
          <a:prstGeom prst="rect">
            <a:avLst/>
          </a:prstGeom>
        </xdr:spPr>
      </xdr:pic>
      <xdr:pic>
        <xdr:nvPicPr>
          <xdr:cNvPr id="46" name="Picture 45" descr="A close up of a logo&#10;&#10;Description automatically generated">
            <a:extLst>
              <a:ext uri="{FF2B5EF4-FFF2-40B4-BE49-F238E27FC236}">
                <a16:creationId xmlns:a16="http://schemas.microsoft.com/office/drawing/2014/main" id="{B8A4E96D-0457-4264-B9EA-FAA4C81105B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2611" y="8150401"/>
            <a:ext cx="239392" cy="259936"/>
          </a:xfrm>
          <a:prstGeom prst="rect">
            <a:avLst/>
          </a:prstGeom>
        </xdr:spPr>
      </xdr:pic>
      <xdr:pic>
        <xdr:nvPicPr>
          <xdr:cNvPr id="49" name="Picture 48" descr="A close up of a logo&#10;&#10;Description automatically generated">
            <a:extLst>
              <a:ext uri="{FF2B5EF4-FFF2-40B4-BE49-F238E27FC236}">
                <a16:creationId xmlns:a16="http://schemas.microsoft.com/office/drawing/2014/main" id="{D39C8055-730C-4A2F-BE5F-40F967FAC53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661797" y="10590224"/>
            <a:ext cx="223656" cy="267986"/>
          </a:xfrm>
          <a:prstGeom prst="rect">
            <a:avLst/>
          </a:prstGeom>
        </xdr:spPr>
      </xdr:pic>
      <xdr:sp macro="" textlink="">
        <xdr:nvSpPr>
          <xdr:cNvPr id="56" name="TextBox 52">
            <a:extLst>
              <a:ext uri="{FF2B5EF4-FFF2-40B4-BE49-F238E27FC236}">
                <a16:creationId xmlns:a16="http://schemas.microsoft.com/office/drawing/2014/main" id="{AABB62C6-7BD0-46E3-ADEA-B0643542DBEB}"/>
              </a:ext>
            </a:extLst>
          </xdr:cNvPr>
          <xdr:cNvSpPr txBox="1"/>
        </xdr:nvSpPr>
        <xdr:spPr>
          <a:xfrm>
            <a:off x="16885858" y="6245960"/>
            <a:ext cx="1403583" cy="290352"/>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"Kaudzītes"</a:t>
            </a:r>
            <a:endParaRPr lang="lv-LV" sz="1200"/>
          </a:p>
        </xdr:txBody>
      </xdr:sp>
      <xdr:sp macro="" textlink="">
        <xdr:nvSpPr>
          <xdr:cNvPr id="57" name="TextBox 53">
            <a:extLst>
              <a:ext uri="{FF2B5EF4-FFF2-40B4-BE49-F238E27FC236}">
                <a16:creationId xmlns:a16="http://schemas.microsoft.com/office/drawing/2014/main" id="{0C2AAA65-7066-4FBC-9177-B568316AC343}"/>
              </a:ext>
            </a:extLst>
          </xdr:cNvPr>
          <xdr:cNvSpPr txBox="1"/>
        </xdr:nvSpPr>
        <xdr:spPr>
          <a:xfrm>
            <a:off x="17328932" y="8778568"/>
            <a:ext cx="917635" cy="286284"/>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Križevņiki</a:t>
            </a:r>
            <a:r>
              <a:rPr lang="en-US" sz="1200"/>
              <a:t>"</a:t>
            </a:r>
            <a:endParaRPr lang="lv-LV" sz="1200"/>
          </a:p>
        </xdr:txBody>
      </xdr:sp>
      <xdr:sp macro="" textlink="">
        <xdr:nvSpPr>
          <xdr:cNvPr id="60" name="TextBox 54">
            <a:extLst>
              <a:ext uri="{FF2B5EF4-FFF2-40B4-BE49-F238E27FC236}">
                <a16:creationId xmlns:a16="http://schemas.microsoft.com/office/drawing/2014/main" id="{6AD607B6-EED2-41D0-9645-3A400A8E8A9A}"/>
              </a:ext>
            </a:extLst>
          </xdr:cNvPr>
          <xdr:cNvSpPr txBox="1"/>
        </xdr:nvSpPr>
        <xdr:spPr>
          <a:xfrm>
            <a:off x="16394692" y="10211276"/>
            <a:ext cx="1008455" cy="27446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Cinīši</a:t>
            </a:r>
            <a:r>
              <a:rPr lang="en-US" sz="1200"/>
              <a:t>"</a:t>
            </a:r>
            <a:endParaRPr lang="lv-LV" sz="1200"/>
          </a:p>
        </xdr:txBody>
      </xdr:sp>
      <xdr:sp macro="" textlink="">
        <xdr:nvSpPr>
          <xdr:cNvPr id="61" name="TextBox 55">
            <a:extLst>
              <a:ext uri="{FF2B5EF4-FFF2-40B4-BE49-F238E27FC236}">
                <a16:creationId xmlns:a16="http://schemas.microsoft.com/office/drawing/2014/main" id="{D2B02069-CACE-4706-9409-1C355CD33466}"/>
              </a:ext>
            </a:extLst>
          </xdr:cNvPr>
          <xdr:cNvSpPr txBox="1"/>
        </xdr:nvSpPr>
        <xdr:spPr>
          <a:xfrm>
            <a:off x="8599923" y="7985757"/>
            <a:ext cx="823666" cy="322231"/>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Ķīvītes</a:t>
            </a:r>
            <a:r>
              <a:rPr lang="en-US" sz="1200"/>
              <a:t>"</a:t>
            </a:r>
            <a:endParaRPr lang="lv-LV" sz="1200"/>
          </a:p>
        </xdr:txBody>
      </xdr:sp>
      <xdr:sp macro="" textlink="">
        <xdr:nvSpPr>
          <xdr:cNvPr id="62" name="TextBox 56">
            <a:extLst>
              <a:ext uri="{FF2B5EF4-FFF2-40B4-BE49-F238E27FC236}">
                <a16:creationId xmlns:a16="http://schemas.microsoft.com/office/drawing/2014/main" id="{95294F8C-C02C-4155-9FCB-63C1F4298607}"/>
              </a:ext>
            </a:extLst>
          </xdr:cNvPr>
          <xdr:cNvSpPr txBox="1"/>
        </xdr:nvSpPr>
        <xdr:spPr>
          <a:xfrm>
            <a:off x="9154703" y="5959691"/>
            <a:ext cx="850212" cy="302018"/>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Pentuļi</a:t>
            </a:r>
            <a:r>
              <a:rPr lang="en-US" sz="1200"/>
              <a:t>"</a:t>
            </a:r>
            <a:endParaRPr lang="lv-LV" sz="1200"/>
          </a:p>
        </xdr:txBody>
      </xdr:sp>
      <xdr:sp macro="" textlink="">
        <xdr:nvSpPr>
          <xdr:cNvPr id="63" name="TextBox 57">
            <a:extLst>
              <a:ext uri="{FF2B5EF4-FFF2-40B4-BE49-F238E27FC236}">
                <a16:creationId xmlns:a16="http://schemas.microsoft.com/office/drawing/2014/main" id="{8CCF1DC4-7F26-476F-A83B-40536AAB1D8A}"/>
              </a:ext>
            </a:extLst>
          </xdr:cNvPr>
          <xdr:cNvSpPr txBox="1"/>
        </xdr:nvSpPr>
        <xdr:spPr>
          <a:xfrm>
            <a:off x="14259012" y="5652104"/>
            <a:ext cx="739861" cy="291736"/>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Daibe</a:t>
            </a:r>
            <a:r>
              <a:rPr lang="en-US" sz="1200"/>
              <a:t>"</a:t>
            </a:r>
            <a:endParaRPr lang="lv-LV" sz="1200"/>
          </a:p>
        </xdr:txBody>
      </xdr:sp>
      <xdr:sp macro="" textlink="">
        <xdr:nvSpPr>
          <xdr:cNvPr id="64" name="TextBox 58">
            <a:extLst>
              <a:ext uri="{FF2B5EF4-FFF2-40B4-BE49-F238E27FC236}">
                <a16:creationId xmlns:a16="http://schemas.microsoft.com/office/drawing/2014/main" id="{631ABF30-EFD7-4479-B8AB-4EA183CA563E}"/>
              </a:ext>
            </a:extLst>
          </xdr:cNvPr>
          <xdr:cNvSpPr txBox="1"/>
        </xdr:nvSpPr>
        <xdr:spPr>
          <a:xfrm>
            <a:off x="13146524" y="7182059"/>
            <a:ext cx="885846" cy="303627"/>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Getliņi</a:t>
            </a:r>
            <a:r>
              <a:rPr lang="en-US" sz="1200"/>
              <a:t>"</a:t>
            </a:r>
            <a:endParaRPr lang="lv-LV" sz="1200"/>
          </a:p>
        </xdr:txBody>
      </xdr:sp>
      <xdr:sp macro="" textlink="">
        <xdr:nvSpPr>
          <xdr:cNvPr id="65" name="TextBox 59">
            <a:extLst>
              <a:ext uri="{FF2B5EF4-FFF2-40B4-BE49-F238E27FC236}">
                <a16:creationId xmlns:a16="http://schemas.microsoft.com/office/drawing/2014/main" id="{21C00E4F-6D84-4EFF-91D0-6248B07A7B8B}"/>
              </a:ext>
            </a:extLst>
          </xdr:cNvPr>
          <xdr:cNvSpPr txBox="1"/>
        </xdr:nvSpPr>
        <xdr:spPr>
          <a:xfrm>
            <a:off x="12059236" y="7860061"/>
            <a:ext cx="1382182" cy="323710"/>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Brakšķi</a:t>
            </a:r>
            <a:r>
              <a:rPr lang="en-US" sz="1200"/>
              <a:t>"</a:t>
            </a:r>
            <a:endParaRPr lang="lv-LV" sz="1200"/>
          </a:p>
        </xdr:txBody>
      </xdr:sp>
      <xdr:sp macro="" textlink="">
        <xdr:nvSpPr>
          <xdr:cNvPr id="66" name="TextBox 61">
            <a:extLst>
              <a:ext uri="{FF2B5EF4-FFF2-40B4-BE49-F238E27FC236}">
                <a16:creationId xmlns:a16="http://schemas.microsoft.com/office/drawing/2014/main" id="{3CE8A6CC-4D8F-42ED-9396-20FCA2E14C3F}"/>
              </a:ext>
            </a:extLst>
          </xdr:cNvPr>
          <xdr:cNvSpPr txBox="1"/>
        </xdr:nvSpPr>
        <xdr:spPr>
          <a:xfrm>
            <a:off x="10670311" y="5764326"/>
            <a:ext cx="827530" cy="295657"/>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Janvāri</a:t>
            </a:r>
            <a:r>
              <a:rPr lang="en-US" sz="1200"/>
              <a:t>"</a:t>
            </a:r>
            <a:endParaRPr lang="lv-LV" sz="1200"/>
          </a:p>
        </xdr:txBody>
      </xdr:sp>
      <xdr:sp macro="" textlink="">
        <xdr:nvSpPr>
          <xdr:cNvPr id="67" name="TextBox 63">
            <a:extLst>
              <a:ext uri="{FF2B5EF4-FFF2-40B4-BE49-F238E27FC236}">
                <a16:creationId xmlns:a16="http://schemas.microsoft.com/office/drawing/2014/main" id="{74E0B243-C1CF-4B51-8919-679F6A2C7FD0}"/>
              </a:ext>
            </a:extLst>
          </xdr:cNvPr>
          <xdr:cNvSpPr txBox="1"/>
        </xdr:nvSpPr>
        <xdr:spPr>
          <a:xfrm>
            <a:off x="15542509" y="8058227"/>
            <a:ext cx="943411" cy="311816"/>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a:t>
            </a:r>
            <a:r>
              <a:rPr lang="lv-LV" sz="1200"/>
              <a:t>Dziļā vāda</a:t>
            </a:r>
            <a:r>
              <a:rPr lang="en-US" sz="1200"/>
              <a:t>"</a:t>
            </a:r>
            <a:endParaRPr lang="lv-LV" sz="1200"/>
          </a:p>
        </xdr:txBody>
      </xdr:sp>
      <xdr:sp macro="" textlink="">
        <xdr:nvSpPr>
          <xdr:cNvPr id="68" name="TextBox 131">
            <a:extLst>
              <a:ext uri="{FF2B5EF4-FFF2-40B4-BE49-F238E27FC236}">
                <a16:creationId xmlns:a16="http://schemas.microsoft.com/office/drawing/2014/main" id="{F22BE137-033F-4CF3-84AD-7C889799C06B}"/>
              </a:ext>
            </a:extLst>
          </xdr:cNvPr>
          <xdr:cNvSpPr txBox="1"/>
        </xdr:nvSpPr>
        <xdr:spPr>
          <a:xfrm>
            <a:off x="19512444" y="6337471"/>
            <a:ext cx="1322799" cy="468339"/>
          </a:xfrm>
          <a:prstGeom prst="rect">
            <a:avLst/>
          </a:prstGeom>
          <a:noFill/>
        </xdr:spPr>
        <xdr:txBody>
          <a:bodyPr wrap="square" rtlCol="0">
            <a:noAutofit/>
          </a:bodyPr>
          <a:lstStyle>
            <a:defPPr>
              <a:defRPr lang="lv-LV"/>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lv-LV" sz="1100">
                <a:solidFill>
                  <a:schemeClr val="tx1">
                    <a:lumMod val="75000"/>
                    <a:lumOff val="25000"/>
                  </a:schemeClr>
                </a:solidFill>
              </a:rPr>
              <a:t>Sadzīves atkritumu </a:t>
            </a:r>
          </a:p>
          <a:p>
            <a:r>
              <a:rPr lang="lv-LV" sz="1100">
                <a:solidFill>
                  <a:schemeClr val="tx1">
                    <a:lumMod val="75000"/>
                    <a:lumOff val="25000"/>
                  </a:schemeClr>
                </a:solidFill>
              </a:rPr>
              <a:t>poligoni</a:t>
            </a:r>
          </a:p>
        </xdr:txBody>
      </xdr:sp>
      <xdr:pic>
        <xdr:nvPicPr>
          <xdr:cNvPr id="69" name="Picture 68" descr="A close up of a logo&#10;&#10;Description automatically generated">
            <a:extLst>
              <a:ext uri="{FF2B5EF4-FFF2-40B4-BE49-F238E27FC236}">
                <a16:creationId xmlns:a16="http://schemas.microsoft.com/office/drawing/2014/main" id="{70DAE45A-EAF7-4D17-8560-6C22EDDC712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470598" y="5984311"/>
            <a:ext cx="225527" cy="256237"/>
          </a:xfrm>
          <a:prstGeom prst="rect">
            <a:avLst/>
          </a:prstGeom>
        </xdr:spPr>
      </xdr:pic>
      <xdr:pic>
        <xdr:nvPicPr>
          <xdr:cNvPr id="70" name="Picture 69" descr="A close up of a logo&#10;&#10;Description automatically generated">
            <a:extLst>
              <a:ext uri="{FF2B5EF4-FFF2-40B4-BE49-F238E27FC236}">
                <a16:creationId xmlns:a16="http://schemas.microsoft.com/office/drawing/2014/main" id="{AB7141DA-6408-4EE7-B0FE-96F46F7FD53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9372671" y="6397614"/>
            <a:ext cx="203148" cy="206285"/>
          </a:xfrm>
          <a:prstGeom prst="rect">
            <a:avLst/>
          </a:prstGeom>
        </xdr:spPr>
      </xdr:pic>
    </xdr:grpSp>
    <xdr:clientData/>
  </xdr:twoCellAnchor>
  <xdr:twoCellAnchor>
    <xdr:from>
      <xdr:col>6</xdr:col>
      <xdr:colOff>157783</xdr:colOff>
      <xdr:row>68</xdr:row>
      <xdr:rowOff>88516</xdr:rowOff>
    </xdr:from>
    <xdr:to>
      <xdr:col>6</xdr:col>
      <xdr:colOff>383663</xdr:colOff>
      <xdr:row>69</xdr:row>
      <xdr:rowOff>145776</xdr:rowOff>
    </xdr:to>
    <xdr:pic>
      <xdr:nvPicPr>
        <xdr:cNvPr id="71" name="Picture 70" descr="A close up of a logo&#10;&#10;Description automatically generated">
          <a:extLst>
            <a:ext uri="{FF2B5EF4-FFF2-40B4-BE49-F238E27FC236}">
              <a16:creationId xmlns:a16="http://schemas.microsoft.com/office/drawing/2014/main" id="{C578162F-D955-46B0-8884-53500E1CAD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84263" y="3746116"/>
          <a:ext cx="225880" cy="240140"/>
        </a:xfrm>
        <a:prstGeom prst="rect">
          <a:avLst/>
        </a:prstGeom>
      </xdr:spPr>
    </xdr:pic>
    <xdr:clientData/>
  </xdr:twoCellAnchor>
  <xdr:twoCellAnchor>
    <xdr:from>
      <xdr:col>18</xdr:col>
      <xdr:colOff>550484</xdr:colOff>
      <xdr:row>70</xdr:row>
      <xdr:rowOff>10683</xdr:rowOff>
    </xdr:from>
    <xdr:to>
      <xdr:col>19</xdr:col>
      <xdr:colOff>169758</xdr:colOff>
      <xdr:row>71</xdr:row>
      <xdr:rowOff>52704</xdr:rowOff>
    </xdr:to>
    <xdr:pic>
      <xdr:nvPicPr>
        <xdr:cNvPr id="72" name="Picture 71" descr="A close up of a logo&#10;&#10;Description automatically generated">
          <a:extLst>
            <a:ext uri="{FF2B5EF4-FFF2-40B4-BE49-F238E27FC236}">
              <a16:creationId xmlns:a16="http://schemas.microsoft.com/office/drawing/2014/main" id="{FFF8C6E1-6CB7-4A97-A2AB-9C493691FFD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92164" y="4034043"/>
          <a:ext cx="228874" cy="224901"/>
        </a:xfrm>
        <a:prstGeom prst="rect">
          <a:avLst/>
        </a:prstGeom>
      </xdr:spPr>
    </xdr:pic>
    <xdr:clientData/>
  </xdr:twoCellAnchor>
  <xdr:twoCellAnchor>
    <xdr:from>
      <xdr:col>16</xdr:col>
      <xdr:colOff>352092</xdr:colOff>
      <xdr:row>79</xdr:row>
      <xdr:rowOff>100217</xdr:rowOff>
    </xdr:from>
    <xdr:to>
      <xdr:col>16</xdr:col>
      <xdr:colOff>577972</xdr:colOff>
      <xdr:row>80</xdr:row>
      <xdr:rowOff>153667</xdr:rowOff>
    </xdr:to>
    <xdr:pic>
      <xdr:nvPicPr>
        <xdr:cNvPr id="73" name="Picture 72" descr="A close up of a logo&#10;&#10;Description automatically generated">
          <a:extLst>
            <a:ext uri="{FF2B5EF4-FFF2-40B4-BE49-F238E27FC236}">
              <a16:creationId xmlns:a16="http://schemas.microsoft.com/office/drawing/2014/main" id="{CE5E1DD2-5695-4488-91DE-CB40A2F276C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574572" y="5769497"/>
          <a:ext cx="225880" cy="236330"/>
        </a:xfrm>
        <a:prstGeom prst="rect">
          <a:avLst/>
        </a:prstGeom>
      </xdr:spPr>
    </xdr:pic>
    <xdr:clientData/>
  </xdr:twoCellAnchor>
  <xdr:twoCellAnchor>
    <xdr:from>
      <xdr:col>19</xdr:col>
      <xdr:colOff>361890</xdr:colOff>
      <xdr:row>83</xdr:row>
      <xdr:rowOff>20479</xdr:rowOff>
    </xdr:from>
    <xdr:to>
      <xdr:col>19</xdr:col>
      <xdr:colOff>587770</xdr:colOff>
      <xdr:row>84</xdr:row>
      <xdr:rowOff>70119</xdr:rowOff>
    </xdr:to>
    <xdr:pic>
      <xdr:nvPicPr>
        <xdr:cNvPr id="74" name="Picture 73" descr="A close up of a logo&#10;&#10;Description automatically generated">
          <a:extLst>
            <a:ext uri="{FF2B5EF4-FFF2-40B4-BE49-F238E27FC236}">
              <a16:creationId xmlns:a16="http://schemas.microsoft.com/office/drawing/2014/main" id="{06C8F20D-D090-4E26-905C-8F80EAEF84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413170" y="6421279"/>
          <a:ext cx="225880" cy="2325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Karte%2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rte (2)"/>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Elīna Dāce" id="{F403F69C-A6C0-4B0D-881D-AA56C08944B7}" userId="Elīna Dāce" providerId="Non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lina Dace" refreshedDate="44526.696860300923" createdVersion="7" refreshedVersion="7" minRefreshableVersion="3" recordCount="120" xr:uid="{85854CA7-C5DA-46A3-83D2-68F6AFD15A34}">
  <cacheSource type="worksheet">
    <worksheetSource ref="A3:L123" sheet="Iedz_sk"/>
  </cacheSource>
  <cacheFields count="12">
    <cacheField name="Statistiskais reģions" numFmtId="0">
      <sharedItems containsBlank="1" count="16">
        <s v="LV"/>
        <s v="Rīga"/>
        <s v="Daugavpils"/>
        <s v="Jēkabpils"/>
        <s v="Jūrmala"/>
        <s v="Jelgava"/>
        <s v="Liepāja"/>
        <s v="Rēzekne"/>
        <s v="Valmiera"/>
        <s v="Ventspils"/>
        <s v="Latgales statistiskais reģions"/>
        <s v="Zemgales statistiskais reģions"/>
        <s v="Kurzemes statistiskais reģions"/>
        <s v="Pierīgas statistiskais reģions"/>
        <s v="Vidzemes statistiskais reģions"/>
        <m u="1"/>
      </sharedItems>
    </cacheField>
    <cacheField name="Pilsēta/novads" numFmtId="0">
      <sharedItems/>
    </cacheField>
    <cacheField name="2012" numFmtId="1">
      <sharedItems containsSemiMixedTypes="0" containsString="0" containsNumber="1" containsInteger="1" minValue="1155" maxValue="2044813"/>
    </cacheField>
    <cacheField name="2013" numFmtId="1">
      <sharedItems containsSemiMixedTypes="0" containsString="0" containsNumber="1" containsInteger="1" minValue="1137" maxValue="2023825"/>
    </cacheField>
    <cacheField name="2014" numFmtId="1">
      <sharedItems containsSemiMixedTypes="0" containsString="0" containsNumber="1" containsInteger="1" minValue="1112" maxValue="2001468"/>
    </cacheField>
    <cacheField name="2015" numFmtId="1">
      <sharedItems containsSemiMixedTypes="0" containsString="0" containsNumber="1" containsInteger="1" minValue="1085" maxValue="1986096"/>
    </cacheField>
    <cacheField name="2016" numFmtId="1">
      <sharedItems containsSemiMixedTypes="0" containsString="0" containsNumber="1" containsInteger="1" minValue="1054" maxValue="1968957"/>
    </cacheField>
    <cacheField name="2017" numFmtId="1">
      <sharedItems containsSemiMixedTypes="0" containsString="0" containsNumber="1" containsInteger="1" minValue="1036" maxValue="1950116"/>
    </cacheField>
    <cacheField name="2018" numFmtId="1">
      <sharedItems containsSemiMixedTypes="0" containsString="0" containsNumber="1" containsInteger="1" minValue="1000" maxValue="1934379"/>
    </cacheField>
    <cacheField name="2019" numFmtId="1">
      <sharedItems containsSemiMixedTypes="0" containsString="0" containsNumber="1" containsInteger="1" minValue="963" maxValue="1919968"/>
    </cacheField>
    <cacheField name="2020" numFmtId="1">
      <sharedItems containsSemiMixedTypes="0" containsString="0" containsNumber="1" containsInteger="1" minValue="984" maxValue="1907675"/>
    </cacheField>
    <cacheField name="2021" numFmtId="1">
      <sharedItems containsSemiMixedTypes="0" containsString="0" containsNumber="1" containsInteger="1" minValue="937" maxValue="1893223"/>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lina Dace" refreshedDate="44526.723239814812" createdVersion="7" refreshedVersion="7" minRefreshableVersion="3" recordCount="120" xr:uid="{FA3B9641-A15A-41DF-A5C7-25888D221E8E}">
  <cacheSource type="worksheet">
    <worksheetSource ref="P3:Z123" sheet="Iedz_sk"/>
  </cacheSource>
  <cacheFields count="11">
    <cacheField name="2021" numFmtId="1">
      <sharedItems containsSemiMixedTypes="0" containsString="0" containsNumber="1" containsInteger="1" minValue="937" maxValue="1893223"/>
    </cacheField>
    <cacheField name="2022" numFmtId="1">
      <sharedItems containsSemiMixedTypes="0" containsString="0" containsNumber="1" containsInteger="1" minValue="915" maxValue="1876424"/>
    </cacheField>
    <cacheField name="2023" numFmtId="1">
      <sharedItems containsSemiMixedTypes="0" containsString="0" containsNumber="1" containsInteger="1" minValue="893" maxValue="1859624"/>
    </cacheField>
    <cacheField name="2024" numFmtId="1">
      <sharedItems containsSemiMixedTypes="0" containsString="0" containsNumber="1" containsInteger="1" minValue="871" maxValue="1842825"/>
    </cacheField>
    <cacheField name="2025" numFmtId="1">
      <sharedItems containsSemiMixedTypes="0" containsString="0" containsNumber="1" containsInteger="1" minValue="849" maxValue="1826025"/>
    </cacheField>
    <cacheField name="2026" numFmtId="1">
      <sharedItems containsSemiMixedTypes="0" containsString="0" containsNumber="1" containsInteger="1" minValue="826" maxValue="1809226"/>
    </cacheField>
    <cacheField name="2027" numFmtId="1">
      <sharedItems containsSemiMixedTypes="0" containsString="0" containsNumber="1" containsInteger="1" minValue="804" maxValue="1792426"/>
    </cacheField>
    <cacheField name="2028" numFmtId="1">
      <sharedItems containsSemiMixedTypes="0" containsString="0" containsNumber="1" containsInteger="1" minValue="782" maxValue="1775627"/>
    </cacheField>
    <cacheField name="2029" numFmtId="1">
      <sharedItems containsSemiMixedTypes="0" containsString="0" containsNumber="1" containsInteger="1" minValue="760" maxValue="1758827"/>
    </cacheField>
    <cacheField name="2030" numFmtId="0">
      <sharedItems containsSemiMixedTypes="0" containsString="0" containsNumber="1" containsInteger="1" minValue="738" maxValue="1742028"/>
    </cacheField>
    <cacheField name="Statistiskais reģions" numFmtId="0">
      <sharedItems count="15">
        <s v="LV"/>
        <s v="Rīga"/>
        <s v="Daugavpils"/>
        <s v="Jēkabpils"/>
        <s v="Jūrmala"/>
        <s v="Jelgava"/>
        <s v="Liepāja"/>
        <s v="Rēzekne"/>
        <s v="Valmiera"/>
        <s v="Ventspils"/>
        <s v="Latgales statistiskais reģions"/>
        <s v="Zemgales statistiskais reģions"/>
        <s v="Kurzemes statistiskais reģions"/>
        <s v="Pierīgas statistiskais reģions"/>
        <s v="Vidzemes statistiskais reģions"/>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lina Dace" refreshedDate="44538.560907060186" createdVersion="7" refreshedVersion="7" minRefreshableVersion="3" recordCount="120" xr:uid="{195169DB-0C30-48BD-8659-BECC5D4A3C0E}">
  <cacheSource type="worksheet">
    <worksheetSource ref="A4:U124" sheet="Aprēķins_2030"/>
  </cacheSource>
  <cacheFields count="21">
    <cacheField name="Pirms novadu reformas" numFmtId="0">
      <sharedItems/>
    </cacheField>
    <cacheField name="Novads pēc reformas" numFmtId="0">
      <sharedItems count="44">
        <s v="n/a"/>
        <s v="Rīga"/>
        <s v="Daugavpils"/>
        <s v="Jēkabpils novads"/>
        <s v="Jūrmala"/>
        <s v="Jelgava"/>
        <s v="Liepāja"/>
        <s v="Rēzekne"/>
        <s v="Valmieras novads"/>
        <s v="Ventspils"/>
        <s v="Preiļu novads"/>
        <s v="Aizkraukles novads"/>
        <s v="Dienvidkurzemes novads"/>
        <s v="Limbažu novads"/>
        <s v="Kuldīgas novads"/>
        <s v="Alūksnes novads"/>
        <s v="Cēsu novads"/>
        <s v="Smiltenes novads"/>
        <s v="Dobeles novads"/>
        <s v="Ādažu novads"/>
        <s v="Mārupes novads"/>
        <s v="Ķekavas novads"/>
        <s v="Balvu novads"/>
        <s v="Bauskas novads"/>
        <s v="Saldus novads"/>
        <s v="Madonas novads"/>
        <s v="Ludzas novads"/>
        <s v="Krāslavas novads"/>
        <s v="Augšdaugavas novads"/>
        <s v="Talsu novads"/>
        <s v="Tukuma novads"/>
        <s v="Ropažu novads"/>
        <s v="Gulbenes novads"/>
        <s v="Ogres novads"/>
        <s v="Siguldas novads"/>
        <s v="Jelgavas novads"/>
        <s v="Līvānu novads"/>
        <s v="Olaines novads"/>
        <s v="Rēzeknes novads"/>
        <s v="Salaspils novads"/>
        <s v="Saulkrastu novads"/>
        <s v="Valkas novads"/>
        <s v="Varakļānu novads"/>
        <s v="Ventspils novads"/>
      </sharedItems>
    </cacheField>
    <cacheField name="AAR pirms reformas" numFmtId="0">
      <sharedItems/>
    </cacheField>
    <cacheField name="AAR pēc reformas" numFmtId="0">
      <sharedItems count="6">
        <s v="n/a"/>
        <s v="Viduslatvijas"/>
        <s v="Latgales"/>
        <s v="Ziemeļkurzemes"/>
        <s v="Dienvidkurzemes"/>
        <s v="Vidzemes"/>
      </sharedItems>
    </cacheField>
    <cacheField name="Platība, km2" numFmtId="0">
      <sharedItems containsSemiMixedTypes="0" containsString="0" containsNumber="1" containsInteger="1" minValue="18" maxValue="64573"/>
    </cacheField>
    <cacheField name="IS_2021" numFmtId="3">
      <sharedItems containsSemiMixedTypes="0" containsString="0" containsNumber="1" containsInteger="1" minValue="937" maxValue="1893223"/>
    </cacheField>
    <cacheField name="IS_2022" numFmtId="3">
      <sharedItems containsSemiMixedTypes="0" containsString="0" containsNumber="1" containsInteger="1" minValue="915" maxValue="1876426"/>
    </cacheField>
    <cacheField name="IS_2023" numFmtId="3">
      <sharedItems containsSemiMixedTypes="0" containsString="0" containsNumber="1" containsInteger="1" minValue="893" maxValue="1859631"/>
    </cacheField>
    <cacheField name="IS_2030" numFmtId="3">
      <sharedItems containsSemiMixedTypes="0" containsString="0" containsNumber="1" containsInteger="1" minValue="738" maxValue="1742028"/>
    </cacheField>
    <cacheField name="IS_20212" numFmtId="3">
      <sharedItems containsSemiMixedTypes="0" containsString="0" containsNumber="1" minValue="6161.6194422005201" maxValue="31075056.674999997"/>
    </cacheField>
    <cacheField name="IS_20222" numFmtId="3">
      <sharedItems containsSemiMixedTypes="0" containsString="0" containsNumber="1" minValue="6472.322322954763" maxValue="32659884.565424994"/>
    </cacheField>
    <cacheField name="IS_20232" numFmtId="3">
      <sharedItems containsSemiMixedTypes="0" containsString="0" containsNumber="1" minValue="6714.4196307593284" maxValue="33900960.178911142"/>
    </cacheField>
    <cacheField name="IS_20302" numFmtId="3">
      <sharedItems containsSemiMixedTypes="0" containsString="0" containsNumber="1" minValue="8073.5555077300614" maxValue="41020161.816482484"/>
    </cacheField>
    <cacheField name="SA_2021" numFmtId="3">
      <sharedItems containsSemiMixedTypes="0" containsString="0" containsNumber="1" minValue="169.16705225974616" maxValue="853164.62430482276"/>
    </cacheField>
    <cacheField name="SA_2022" numFmtId="3">
      <sharedItems containsSemiMixedTypes="0" containsString="0" containsNumber="1" minValue="171.54287912545905" maxValue="865619.84256996086"/>
    </cacheField>
    <cacheField name="SA_2023" numFmtId="3">
      <sharedItems containsSemiMixedTypes="0" containsString="0" containsNumber="1" minValue="172.95958146188229" maxValue="873269.20361653226"/>
    </cacheField>
    <cacheField name="SA_2030" numFmtId="3">
      <sharedItems containsSemiMixedTypes="0" containsString="0" containsNumber="1" minValue="173.48377688949154" maxValue="1056655.7363760041"/>
    </cacheField>
    <cacheField name="BA_2021" numFmtId="3">
      <sharedItems containsSemiMixedTypes="0" containsString="0" containsNumber="1" minValue="40.600092542339077" maxValue="204759.50983315747"/>
    </cacheField>
    <cacheField name="BA_2022" numFmtId="3">
      <sharedItems containsSemiMixedTypes="0" containsString="0" containsNumber="1" minValue="41.170290990110175" maxValue="207748.76221679061"/>
    </cacheField>
    <cacheField name="BA_2023" numFmtId="3">
      <sharedItems containsSemiMixedTypes="0" containsString="0" containsNumber="1" minValue="41.510299550851748" maxValue="209584.60886796776"/>
    </cacheField>
    <cacheField name="BA_2030" numFmtId="3">
      <sharedItems containsSemiMixedTypes="0" containsString="0" containsNumber="1" minValue="41.636106453477964" maxValue="253597.376730240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
  <r>
    <x v="0"/>
    <s v="LATVIJA"/>
    <n v="2044813"/>
    <n v="2023825"/>
    <n v="2001468"/>
    <n v="1986096"/>
    <n v="1968957"/>
    <n v="1950116"/>
    <n v="1934379"/>
    <n v="1919968"/>
    <n v="1907675"/>
    <n v="1893223"/>
  </r>
  <r>
    <x v="1"/>
    <s v="Rīga"/>
    <n v="649853"/>
    <n v="643615"/>
    <n v="643368"/>
    <n v="641007"/>
    <n v="639630"/>
    <n v="641423"/>
    <n v="637971"/>
    <n v="632614"/>
    <n v="621120"/>
    <n v="614618"/>
  </r>
  <r>
    <x v="2"/>
    <s v="Daugavpils"/>
    <n v="90879"/>
    <n v="89184"/>
    <n v="87403"/>
    <n v="86435"/>
    <n v="85858"/>
    <n v="84592"/>
    <n v="83250"/>
    <n v="82604"/>
    <n v="81587"/>
    <n v="80627"/>
  </r>
  <r>
    <x v="3"/>
    <s v="Jēkabpils"/>
    <n v="24182"/>
    <n v="23834"/>
    <n v="23269"/>
    <n v="23019"/>
    <n v="22750"/>
    <n v="22412"/>
    <n v="22188"/>
    <n v="22076"/>
    <n v="21836"/>
    <n v="21629"/>
  </r>
  <r>
    <x v="4"/>
    <s v="Jūrmala"/>
    <n v="50196"/>
    <n v="50481"/>
    <n v="49750"/>
    <n v="49646"/>
    <n v="49182"/>
    <n v="48606"/>
    <n v="49073"/>
    <n v="49325"/>
    <n v="49985"/>
    <n v="50248"/>
  </r>
  <r>
    <x v="5"/>
    <s v="Jelgava"/>
    <n v="58332"/>
    <n v="57773"/>
    <n v="57332"/>
    <n v="57180"/>
    <n v="57053"/>
    <n v="56743"/>
    <n v="56383"/>
    <n v="55972"/>
    <n v="55517"/>
    <n v="55336"/>
  </r>
  <r>
    <x v="6"/>
    <s v="Liepāja"/>
    <n v="74812"/>
    <n v="73469"/>
    <n v="71926"/>
    <n v="71125"/>
    <n v="70630"/>
    <n v="69443"/>
    <n v="69180"/>
    <n v="68945"/>
    <n v="68313"/>
    <n v="67964"/>
  </r>
  <r>
    <x v="7"/>
    <s v="Rēzekne"/>
    <n v="31378"/>
    <n v="30756"/>
    <n v="29948"/>
    <n v="29317"/>
    <n v="28692"/>
    <n v="28174"/>
    <n v="28156"/>
    <n v="27820"/>
    <n v="27100"/>
    <n v="26839"/>
  </r>
  <r>
    <x v="8"/>
    <s v="Valmiera"/>
    <n v="24656"/>
    <n v="24228"/>
    <n v="23657"/>
    <n v="23432"/>
    <n v="23248"/>
    <n v="22961"/>
    <n v="23063"/>
    <n v="23125"/>
    <n v="23018"/>
    <n v="22971"/>
  </r>
  <r>
    <x v="9"/>
    <s v="Ventspils"/>
    <n v="38000"/>
    <n v="37336"/>
    <n v="36677"/>
    <n v="36274"/>
    <n v="35903"/>
    <n v="35362"/>
    <n v="34855"/>
    <n v="34377"/>
    <n v="33799"/>
    <n v="33372"/>
  </r>
  <r>
    <x v="10"/>
    <s v="Aglonas novads"/>
    <n v="3887"/>
    <n v="3800"/>
    <n v="3731"/>
    <n v="3669"/>
    <n v="3567"/>
    <n v="3436"/>
    <n v="3309"/>
    <n v="3191"/>
    <n v="3133"/>
    <n v="3042"/>
  </r>
  <r>
    <x v="11"/>
    <s v="Aizkraukles novads"/>
    <n v="8859"/>
    <n v="8733"/>
    <n v="8592"/>
    <n v="8484"/>
    <n v="8397"/>
    <n v="8256"/>
    <n v="8130"/>
    <n v="8036"/>
    <n v="8022"/>
    <n v="8017"/>
  </r>
  <r>
    <x v="12"/>
    <s v="Aizputes novads"/>
    <n v="9219"/>
    <n v="9150"/>
    <n v="9023"/>
    <n v="8883"/>
    <n v="8686"/>
    <n v="8534"/>
    <n v="8355"/>
    <n v="8192"/>
    <n v="8196"/>
    <n v="8083"/>
  </r>
  <r>
    <x v="11"/>
    <s v="Aknīstes novads"/>
    <n v="2930"/>
    <n v="2897"/>
    <n v="2878"/>
    <n v="2836"/>
    <n v="2776"/>
    <n v="2791"/>
    <n v="2557"/>
    <n v="2492"/>
    <n v="2576"/>
    <n v="2546"/>
  </r>
  <r>
    <x v="13"/>
    <s v="Alojas novads"/>
    <n v="5273"/>
    <n v="5197"/>
    <n v="5088"/>
    <n v="5000"/>
    <n v="4889"/>
    <n v="4785"/>
    <n v="4680"/>
    <n v="4630"/>
    <n v="4627"/>
    <n v="4520"/>
  </r>
  <r>
    <x v="12"/>
    <s v="Alsungas novads"/>
    <n v="1472"/>
    <n v="1458"/>
    <n v="1452"/>
    <n v="1416"/>
    <n v="1382"/>
    <n v="1345"/>
    <n v="1322"/>
    <n v="1289"/>
    <n v="1305"/>
    <n v="1303"/>
  </r>
  <r>
    <x v="14"/>
    <s v="Alūksnes novads"/>
    <n v="16749"/>
    <n v="16418"/>
    <n v="15972"/>
    <n v="15648"/>
    <n v="15381"/>
    <n v="14896"/>
    <n v="14472"/>
    <n v="14153"/>
    <n v="14050"/>
    <n v="13861"/>
  </r>
  <r>
    <x v="14"/>
    <s v="Amatas novads"/>
    <n v="5655"/>
    <n v="5589"/>
    <n v="5462"/>
    <n v="5388"/>
    <n v="5337"/>
    <n v="5163"/>
    <n v="5003"/>
    <n v="4983"/>
    <n v="5048"/>
    <n v="5042"/>
  </r>
  <r>
    <x v="14"/>
    <s v="Apes novads"/>
    <n v="3779"/>
    <n v="3718"/>
    <n v="3643"/>
    <n v="3579"/>
    <n v="3528"/>
    <n v="3415"/>
    <n v="3345"/>
    <n v="3295"/>
    <n v="3260"/>
    <n v="3205"/>
  </r>
  <r>
    <x v="11"/>
    <s v="Auces novads"/>
    <n v="7217"/>
    <n v="7093"/>
    <n v="6879"/>
    <n v="6762"/>
    <n v="6605"/>
    <n v="6413"/>
    <n v="6289"/>
    <n v="6153"/>
    <n v="6163"/>
    <n v="6025"/>
  </r>
  <r>
    <x v="13"/>
    <s v="Ādažu novads"/>
    <n v="10030"/>
    <n v="10092"/>
    <n v="10238"/>
    <n v="10414"/>
    <n v="10524"/>
    <n v="10735"/>
    <n v="11184"/>
    <n v="11391"/>
    <n v="11558"/>
    <n v="11824"/>
  </r>
  <r>
    <x v="13"/>
    <s v="Babītes novads"/>
    <n v="9381"/>
    <n v="9515"/>
    <n v="9630"/>
    <n v="9800"/>
    <n v="9825"/>
    <n v="10119"/>
    <n v="10350"/>
    <n v="10704"/>
    <n v="10980"/>
    <n v="11247"/>
  </r>
  <r>
    <x v="13"/>
    <s v="Baldones novads"/>
    <n v="5502"/>
    <n v="5473"/>
    <n v="5400"/>
    <n v="5435"/>
    <n v="5416"/>
    <n v="5373"/>
    <n v="5485"/>
    <n v="5468"/>
    <n v="5370"/>
    <n v="5446"/>
  </r>
  <r>
    <x v="10"/>
    <s v="Baltinavas novads"/>
    <n v="1155"/>
    <n v="1137"/>
    <n v="1112"/>
    <n v="1085"/>
    <n v="1054"/>
    <n v="1036"/>
    <n v="1000"/>
    <n v="963"/>
    <n v="984"/>
    <n v="937"/>
  </r>
  <r>
    <x v="10"/>
    <s v="Balvu novads"/>
    <n v="13879"/>
    <n v="13609"/>
    <n v="13301"/>
    <n v="13031"/>
    <n v="12688"/>
    <n v="12342"/>
    <n v="12129"/>
    <n v="11977"/>
    <n v="11809"/>
    <n v="11576"/>
  </r>
  <r>
    <x v="11"/>
    <s v="Bauskas novads"/>
    <n v="25258"/>
    <n v="24946"/>
    <n v="24615"/>
    <n v="24308"/>
    <n v="23930"/>
    <n v="23387"/>
    <n v="23061"/>
    <n v="22784"/>
    <n v="22546"/>
    <n v="22259"/>
  </r>
  <r>
    <x v="14"/>
    <s v="Beverīnas novads"/>
    <n v="3282"/>
    <n v="3299"/>
    <n v="3231"/>
    <n v="3186"/>
    <n v="3140"/>
    <n v="3051"/>
    <n v="3006"/>
    <n v="2949"/>
    <n v="2990"/>
    <n v="2948"/>
  </r>
  <r>
    <x v="12"/>
    <s v="Brocēnu novads"/>
    <n v="6093"/>
    <n v="5981"/>
    <n v="5828"/>
    <n v="5785"/>
    <n v="5674"/>
    <n v="5558"/>
    <n v="5622"/>
    <n v="5634"/>
    <n v="5685"/>
    <n v="5672"/>
  </r>
  <r>
    <x v="14"/>
    <s v="Burtnieku novads"/>
    <n v="8224"/>
    <n v="8162"/>
    <n v="8128"/>
    <n v="8112"/>
    <n v="8150"/>
    <n v="7977"/>
    <n v="7584"/>
    <n v="7485"/>
    <n v="7430"/>
    <n v="7410"/>
  </r>
  <r>
    <x v="13"/>
    <s v="Carnikavas novads"/>
    <n v="6775"/>
    <n v="6780"/>
    <n v="6788"/>
    <n v="6805"/>
    <n v="6858"/>
    <n v="8334"/>
    <n v="8626"/>
    <n v="8738"/>
    <n v="9110"/>
    <n v="9310"/>
  </r>
  <r>
    <x v="14"/>
    <s v="Cesvaines novads"/>
    <n v="2785"/>
    <n v="2774"/>
    <n v="2697"/>
    <n v="2617"/>
    <n v="2560"/>
    <n v="2497"/>
    <n v="2422"/>
    <n v="2339"/>
    <n v="2309"/>
    <n v="2253"/>
  </r>
  <r>
    <x v="14"/>
    <s v="Cēsu novads"/>
    <n v="17807"/>
    <n v="17539"/>
    <n v="17241"/>
    <n v="17039"/>
    <n v="16830"/>
    <n v="16628"/>
    <n v="16489"/>
    <n v="16372"/>
    <n v="16226"/>
    <n v="16143"/>
  </r>
  <r>
    <x v="10"/>
    <s v="Ciblas novads"/>
    <n v="2869"/>
    <n v="2818"/>
    <n v="2755"/>
    <n v="2707"/>
    <n v="2659"/>
    <n v="2568"/>
    <n v="2515"/>
    <n v="2429"/>
    <n v="2451"/>
    <n v="2362"/>
  </r>
  <r>
    <x v="10"/>
    <s v="Dagdas novads"/>
    <n v="8194"/>
    <n v="8014"/>
    <n v="7819"/>
    <n v="7647"/>
    <n v="7460"/>
    <n v="7253"/>
    <n v="6992"/>
    <n v="6777"/>
    <n v="6685"/>
    <n v="6475"/>
  </r>
  <r>
    <x v="10"/>
    <s v="Daugavpils novads"/>
    <n v="24666"/>
    <n v="24000"/>
    <n v="23503"/>
    <n v="22848"/>
    <n v="22096"/>
    <n v="21301"/>
    <n v="20684"/>
    <n v="20149"/>
    <n v="20075"/>
    <n v="19553"/>
  </r>
  <r>
    <x v="11"/>
    <s v="Dobeles novads"/>
    <n v="21994"/>
    <n v="21693"/>
    <n v="21218"/>
    <n v="20878"/>
    <n v="20473"/>
    <n v="20080"/>
    <n v="19768"/>
    <n v="19517"/>
    <n v="19438"/>
    <n v="19219"/>
  </r>
  <r>
    <x v="12"/>
    <s v="Dundagas novads"/>
    <n v="4236"/>
    <n v="4193"/>
    <n v="4140"/>
    <n v="4039"/>
    <n v="3963"/>
    <n v="3846"/>
    <n v="3740"/>
    <n v="3641"/>
    <n v="3568"/>
    <n v="3487"/>
  </r>
  <r>
    <x v="12"/>
    <s v="Durbes novads"/>
    <n v="3018"/>
    <n v="2969"/>
    <n v="2921"/>
    <n v="2854"/>
    <n v="2777"/>
    <n v="2729"/>
    <n v="2681"/>
    <n v="2626"/>
    <n v="2667"/>
    <n v="2620"/>
  </r>
  <r>
    <x v="13"/>
    <s v="Engures novads"/>
    <n v="7472"/>
    <n v="7430"/>
    <n v="7321"/>
    <n v="7204"/>
    <n v="7289"/>
    <n v="7225"/>
    <n v="7080"/>
    <n v="7054"/>
    <n v="7219"/>
    <n v="7147"/>
  </r>
  <r>
    <x v="14"/>
    <s v="Ērgļu novads"/>
    <n v="3140"/>
    <n v="3059"/>
    <n v="2988"/>
    <n v="2943"/>
    <n v="2929"/>
    <n v="2804"/>
    <n v="2747"/>
    <n v="2689"/>
    <n v="2680"/>
    <n v="2600"/>
  </r>
  <r>
    <x v="13"/>
    <s v="Garkalnes novads"/>
    <n v="7818"/>
    <n v="7868"/>
    <n v="7817"/>
    <n v="7858"/>
    <n v="7944"/>
    <n v="8121"/>
    <n v="8344"/>
    <n v="8557"/>
    <n v="9011"/>
    <n v="9425"/>
  </r>
  <r>
    <x v="12"/>
    <s v="Grobiņas novads"/>
    <n v="9198"/>
    <n v="9144"/>
    <n v="9051"/>
    <n v="8929"/>
    <n v="8765"/>
    <n v="8615"/>
    <n v="8479"/>
    <n v="8394"/>
    <n v="8398"/>
    <n v="8329"/>
  </r>
  <r>
    <x v="14"/>
    <s v="Gulbenes novads"/>
    <n v="22628"/>
    <n v="22375"/>
    <n v="21935"/>
    <n v="21640"/>
    <n v="21244"/>
    <n v="20805"/>
    <n v="20431"/>
    <n v="20079"/>
    <n v="20001"/>
    <n v="19619"/>
  </r>
  <r>
    <x v="11"/>
    <s v="Iecavas novads"/>
    <n v="8986"/>
    <n v="8894"/>
    <n v="8756"/>
    <n v="8703"/>
    <n v="8572"/>
    <n v="8455"/>
    <n v="8424"/>
    <n v="8359"/>
    <n v="8435"/>
    <n v="8411"/>
  </r>
  <r>
    <x v="13"/>
    <s v="Ikšķiles novads"/>
    <n v="8870"/>
    <n v="8974"/>
    <n v="9174"/>
    <n v="9314"/>
    <n v="9369"/>
    <n v="9405"/>
    <n v="9643"/>
    <n v="9708"/>
    <n v="9770"/>
    <n v="9967"/>
  </r>
  <r>
    <x v="10"/>
    <s v="Ilūkstes novads"/>
    <n v="7895"/>
    <n v="7786"/>
    <n v="7537"/>
    <n v="7450"/>
    <n v="7210"/>
    <n v="7022"/>
    <n v="6820"/>
    <n v="6615"/>
    <n v="6523"/>
    <n v="6374"/>
  </r>
  <r>
    <x v="13"/>
    <s v="Inčukalna novads"/>
    <n v="7910"/>
    <n v="7856"/>
    <n v="7748"/>
    <n v="7719"/>
    <n v="7679"/>
    <n v="7598"/>
    <n v="7558"/>
    <n v="7640"/>
    <n v="7579"/>
    <n v="7622"/>
  </r>
  <r>
    <x v="11"/>
    <s v="Jaunjelgavas novads"/>
    <n v="5721"/>
    <n v="5731"/>
    <n v="5656"/>
    <n v="5578"/>
    <n v="5496"/>
    <n v="5334"/>
    <n v="5252"/>
    <n v="5140"/>
    <n v="5176"/>
    <n v="5039"/>
  </r>
  <r>
    <x v="14"/>
    <s v="Jaunpiebalgas novads"/>
    <n v="2367"/>
    <n v="2333"/>
    <n v="2319"/>
    <n v="2293"/>
    <n v="2193"/>
    <n v="2139"/>
    <n v="2086"/>
    <n v="2019"/>
    <n v="2011"/>
    <n v="1992"/>
  </r>
  <r>
    <x v="13"/>
    <s v="Jaunpils novads"/>
    <n v="2480"/>
    <n v="2461"/>
    <n v="2444"/>
    <n v="2406"/>
    <n v="2338"/>
    <n v="2280"/>
    <n v="2239"/>
    <n v="2178"/>
    <n v="2198"/>
    <n v="2188"/>
  </r>
  <r>
    <x v="11"/>
    <s v="Jelgavas novads"/>
    <n v="24492"/>
    <n v="24295"/>
    <n v="23778"/>
    <n v="23360"/>
    <n v="22860"/>
    <n v="22443"/>
    <n v="22244"/>
    <n v="22011"/>
    <n v="22187"/>
    <n v="22021"/>
  </r>
  <r>
    <x v="11"/>
    <s v="Jēkabpils novads"/>
    <n v="5066"/>
    <n v="4956"/>
    <n v="4860"/>
    <n v="4772"/>
    <n v="4689"/>
    <n v="4548"/>
    <n v="4419"/>
    <n v="4293"/>
    <n v="4234"/>
    <n v="4164"/>
  </r>
  <r>
    <x v="13"/>
    <s v="Kandavas novads"/>
    <n v="8844"/>
    <n v="8808"/>
    <n v="8672"/>
    <n v="8504"/>
    <n v="8332"/>
    <n v="8085"/>
    <n v="7853"/>
    <n v="7664"/>
    <n v="7553"/>
    <n v="7462"/>
  </r>
  <r>
    <x v="10"/>
    <s v="Kārsavas novads"/>
    <n v="6180"/>
    <n v="6034"/>
    <n v="5913"/>
    <n v="5812"/>
    <n v="5679"/>
    <n v="5532"/>
    <n v="5393"/>
    <n v="5278"/>
    <n v="5238"/>
    <n v="5127"/>
  </r>
  <r>
    <x v="14"/>
    <s v="Kocēnu novads"/>
    <n v="6310"/>
    <n v="6263"/>
    <n v="6226"/>
    <n v="6147"/>
    <n v="6092"/>
    <n v="5980"/>
    <n v="5912"/>
    <n v="5832"/>
    <n v="5806"/>
    <n v="5776"/>
  </r>
  <r>
    <x v="11"/>
    <s v="Kokneses novads"/>
    <n v="5444"/>
    <n v="5384"/>
    <n v="5334"/>
    <n v="5295"/>
    <n v="5217"/>
    <n v="5099"/>
    <n v="5020"/>
    <n v="5013"/>
    <n v="4945"/>
    <n v="4851"/>
  </r>
  <r>
    <x v="10"/>
    <s v="Krāslavas novads"/>
    <n v="17099"/>
    <n v="16755"/>
    <n v="16291"/>
    <n v="15854"/>
    <n v="15436"/>
    <n v="14963"/>
    <n v="14542"/>
    <n v="14155"/>
    <n v="13863"/>
    <n v="13533"/>
  </r>
  <r>
    <x v="13"/>
    <s v="Krimuldas novads"/>
    <n v="5264"/>
    <n v="5232"/>
    <n v="5176"/>
    <n v="5169"/>
    <n v="5109"/>
    <n v="4969"/>
    <n v="4885"/>
    <n v="4858"/>
    <n v="4893"/>
    <n v="4833"/>
  </r>
  <r>
    <x v="11"/>
    <s v="Krustpils novads"/>
    <n v="6057"/>
    <n v="6053"/>
    <n v="5977"/>
    <n v="5908"/>
    <n v="5828"/>
    <n v="5747"/>
    <n v="5603"/>
    <n v="5496"/>
    <n v="5547"/>
    <n v="5461"/>
  </r>
  <r>
    <x v="12"/>
    <s v="Kuldīgas novads"/>
    <n v="24770"/>
    <n v="24539"/>
    <n v="24190"/>
    <n v="23898"/>
    <n v="23515"/>
    <n v="22989"/>
    <n v="22630"/>
    <n v="22313"/>
    <n v="22214"/>
    <n v="21907"/>
  </r>
  <r>
    <x v="13"/>
    <s v="Ķeguma novads"/>
    <n v="5670"/>
    <n v="5650"/>
    <n v="5586"/>
    <n v="5546"/>
    <n v="5448"/>
    <n v="5427"/>
    <n v="5374"/>
    <n v="5344"/>
    <n v="5335"/>
    <n v="5313"/>
  </r>
  <r>
    <x v="13"/>
    <s v="Ķekavas novads"/>
    <n v="22095"/>
    <n v="22337"/>
    <n v="22335"/>
    <n v="22630"/>
    <n v="22745"/>
    <n v="22639"/>
    <n v="23042"/>
    <n v="23698"/>
    <n v="24269"/>
    <n v="24631"/>
  </r>
  <r>
    <x v="13"/>
    <s v="Lielvārdes novads"/>
    <n v="10306"/>
    <n v="10282"/>
    <n v="10174"/>
    <n v="10050"/>
    <n v="9958"/>
    <n v="9758"/>
    <n v="9735"/>
    <n v="9643"/>
    <n v="9624"/>
    <n v="9547"/>
  </r>
  <r>
    <x v="13"/>
    <s v="Limbažu novads"/>
    <n v="17725"/>
    <n v="17498"/>
    <n v="17262"/>
    <n v="17098"/>
    <n v="16836"/>
    <n v="16571"/>
    <n v="16312"/>
    <n v="16301"/>
    <n v="16772"/>
    <n v="16744"/>
  </r>
  <r>
    <x v="14"/>
    <s v="Līgatnes novads"/>
    <n v="3661"/>
    <n v="3603"/>
    <n v="3532"/>
    <n v="3481"/>
    <n v="3404"/>
    <n v="3314"/>
    <n v="3262"/>
    <n v="3264"/>
    <n v="3261"/>
    <n v="3258"/>
  </r>
  <r>
    <x v="10"/>
    <s v="Līvānu novads"/>
    <n v="12251"/>
    <n v="12030"/>
    <n v="11799"/>
    <n v="11652"/>
    <n v="11473"/>
    <n v="11200"/>
    <n v="11029"/>
    <n v="10832"/>
    <n v="10833"/>
    <n v="10636"/>
  </r>
  <r>
    <x v="14"/>
    <s v="Lubānas novads"/>
    <n v="2527"/>
    <n v="2502"/>
    <n v="2475"/>
    <n v="2444"/>
    <n v="2371"/>
    <n v="2312"/>
    <n v="2287"/>
    <n v="2226"/>
    <n v="2223"/>
    <n v="2163"/>
  </r>
  <r>
    <x v="10"/>
    <s v="Ludzas novads"/>
    <n v="14026"/>
    <n v="13742"/>
    <n v="13439"/>
    <n v="13250"/>
    <n v="12963"/>
    <n v="12739"/>
    <n v="12416"/>
    <n v="12196"/>
    <n v="11937"/>
    <n v="11739"/>
  </r>
  <r>
    <x v="14"/>
    <s v="Madonas novads"/>
    <n v="24964"/>
    <n v="24603"/>
    <n v="24134"/>
    <n v="23778"/>
    <n v="23441"/>
    <n v="22945"/>
    <n v="22604"/>
    <n v="22261"/>
    <n v="22069"/>
    <n v="21676"/>
  </r>
  <r>
    <x v="14"/>
    <s v="Mazsalacas novads"/>
    <n v="3461"/>
    <n v="3397"/>
    <n v="3314"/>
    <n v="3239"/>
    <n v="3147"/>
    <n v="3030"/>
    <n v="2990"/>
    <n v="2932"/>
    <n v="2932"/>
    <n v="2867"/>
  </r>
  <r>
    <x v="13"/>
    <s v="Mālpils novads"/>
    <n v="3579"/>
    <n v="3548"/>
    <n v="3522"/>
    <n v="3516"/>
    <n v="3470"/>
    <n v="3411"/>
    <n v="3411"/>
    <n v="3350"/>
    <n v="3373"/>
    <n v="3324"/>
  </r>
  <r>
    <x v="13"/>
    <s v="Mārupes novads"/>
    <n v="16281"/>
    <n v="16659"/>
    <n v="16948"/>
    <n v="17741"/>
    <n v="18623"/>
    <n v="18521"/>
    <n v="19456"/>
    <n v="20007"/>
    <n v="20741"/>
    <n v="21577"/>
  </r>
  <r>
    <x v="12"/>
    <s v="Mērsraga novads"/>
    <n v="1620"/>
    <n v="1606"/>
    <n v="1615"/>
    <n v="1582"/>
    <n v="1554"/>
    <n v="1521"/>
    <n v="1478"/>
    <n v="1439"/>
    <n v="1454"/>
    <n v="1431"/>
  </r>
  <r>
    <x v="14"/>
    <s v="Naukšēnu novads"/>
    <n v="1966"/>
    <n v="1932"/>
    <n v="1881"/>
    <n v="1847"/>
    <n v="1824"/>
    <n v="1770"/>
    <n v="1731"/>
    <n v="1701"/>
    <n v="1730"/>
    <n v="1689"/>
  </r>
  <r>
    <x v="11"/>
    <s v="Neretas novads"/>
    <n v="3874"/>
    <n v="3846"/>
    <n v="3760"/>
    <n v="3706"/>
    <n v="3638"/>
    <n v="3507"/>
    <n v="3442"/>
    <n v="3376"/>
    <n v="3336"/>
    <n v="3278"/>
  </r>
  <r>
    <x v="12"/>
    <s v="Nīcas novads"/>
    <n v="3585"/>
    <n v="3527"/>
    <n v="3482"/>
    <n v="3419"/>
    <n v="3316"/>
    <n v="3278"/>
    <n v="3209"/>
    <n v="3152"/>
    <n v="3112"/>
    <n v="3113"/>
  </r>
  <r>
    <x v="13"/>
    <s v="Ogres novads"/>
    <n v="35917"/>
    <n v="35531"/>
    <n v="34897"/>
    <n v="34580"/>
    <n v="33980"/>
    <n v="33448"/>
    <n v="33083"/>
    <n v="32997"/>
    <n v="32927"/>
    <n v="32790"/>
  </r>
  <r>
    <x v="13"/>
    <s v="Olaines novads"/>
    <n v="20004"/>
    <n v="19849"/>
    <n v="19720"/>
    <n v="19718"/>
    <n v="19685"/>
    <n v="19487"/>
    <n v="19409"/>
    <n v="19499"/>
    <n v="19511"/>
    <n v="19705"/>
  </r>
  <r>
    <x v="11"/>
    <s v="Ozolnieku novads"/>
    <n v="9896"/>
    <n v="9840"/>
    <n v="9661"/>
    <n v="9634"/>
    <n v="9676"/>
    <n v="9609"/>
    <n v="9864"/>
    <n v="9969"/>
    <n v="10031"/>
    <n v="9948"/>
  </r>
  <r>
    <x v="14"/>
    <s v="Pārgaujas novads"/>
    <n v="3926"/>
    <n v="3950"/>
    <n v="3938"/>
    <n v="3897"/>
    <n v="3815"/>
    <n v="3728"/>
    <n v="3666"/>
    <n v="3623"/>
    <n v="3638"/>
    <n v="3603"/>
  </r>
  <r>
    <x v="12"/>
    <s v="Pāvilostas novads"/>
    <n v="2858"/>
    <n v="2819"/>
    <n v="2742"/>
    <n v="2701"/>
    <n v="2658"/>
    <n v="2616"/>
    <n v="2575"/>
    <n v="2532"/>
    <n v="2597"/>
    <n v="2543"/>
  </r>
  <r>
    <x v="11"/>
    <s v="Pļaviņu novads"/>
    <n v="5623"/>
    <n v="5560"/>
    <n v="5462"/>
    <n v="5343"/>
    <n v="5286"/>
    <n v="5165"/>
    <n v="5031"/>
    <n v="4904"/>
    <n v="4818"/>
    <n v="4765"/>
  </r>
  <r>
    <x v="10"/>
    <s v="Preiļu novads"/>
    <n v="10532"/>
    <n v="10317"/>
    <n v="10083"/>
    <n v="9941"/>
    <n v="9768"/>
    <n v="9561"/>
    <n v="9382"/>
    <n v="9231"/>
    <n v="9045"/>
    <n v="8948"/>
  </r>
  <r>
    <x v="12"/>
    <s v="Priekules novads"/>
    <n v="5799"/>
    <n v="5747"/>
    <n v="5663"/>
    <n v="5555"/>
    <n v="5399"/>
    <n v="5336"/>
    <n v="5203"/>
    <n v="5067"/>
    <n v="5066"/>
    <n v="4955"/>
  </r>
  <r>
    <x v="14"/>
    <s v="Priekuļu novads"/>
    <n v="8323"/>
    <n v="8232"/>
    <n v="8050"/>
    <n v="7951"/>
    <n v="7940"/>
    <n v="7870"/>
    <n v="7719"/>
    <n v="7607"/>
    <n v="7602"/>
    <n v="7509"/>
  </r>
  <r>
    <x v="14"/>
    <s v="Raunas novads"/>
    <n v="3546"/>
    <n v="3490"/>
    <n v="3412"/>
    <n v="3349"/>
    <n v="3207"/>
    <n v="3125"/>
    <n v="3096"/>
    <n v="3023"/>
    <n v="3038"/>
    <n v="3005"/>
  </r>
  <r>
    <x v="10"/>
    <s v="Rēzeknes novads"/>
    <n v="28117"/>
    <n v="27913"/>
    <n v="27395"/>
    <n v="27162"/>
    <n v="26696"/>
    <n v="25937"/>
    <n v="25274"/>
    <n v="24687"/>
    <n v="24715"/>
    <n v="24244"/>
  </r>
  <r>
    <x v="10"/>
    <s v="Riebiņu novads"/>
    <n v="5479"/>
    <n v="5383"/>
    <n v="5270"/>
    <n v="5180"/>
    <n v="5077"/>
    <n v="4911"/>
    <n v="4779"/>
    <n v="4625"/>
    <n v="4614"/>
    <n v="4466"/>
  </r>
  <r>
    <x v="12"/>
    <s v="Rojas novads"/>
    <n v="3957"/>
    <n v="3933"/>
    <n v="3851"/>
    <n v="3799"/>
    <n v="3750"/>
    <n v="3638"/>
    <n v="3527"/>
    <n v="3427"/>
    <n v="3436"/>
    <n v="3390"/>
  </r>
  <r>
    <x v="13"/>
    <s v="Ropažu novads"/>
    <n v="6858"/>
    <n v="6858"/>
    <n v="6748"/>
    <n v="6700"/>
    <n v="6631"/>
    <n v="6641"/>
    <n v="6800"/>
    <n v="6834"/>
    <n v="6803"/>
    <n v="6836"/>
  </r>
  <r>
    <x v="12"/>
    <s v="Rucavas novads"/>
    <n v="1764"/>
    <n v="1728"/>
    <n v="1711"/>
    <n v="1681"/>
    <n v="1650"/>
    <n v="1626"/>
    <n v="1538"/>
    <n v="1478"/>
    <n v="1503"/>
    <n v="1505"/>
  </r>
  <r>
    <x v="10"/>
    <s v="Rugāju novads"/>
    <n v="2375"/>
    <n v="2365"/>
    <n v="2311"/>
    <n v="2266"/>
    <n v="2293"/>
    <n v="2212"/>
    <n v="2160"/>
    <n v="2108"/>
    <n v="2088"/>
    <n v="2026"/>
  </r>
  <r>
    <x v="11"/>
    <s v="Rundāles novads"/>
    <n v="3681"/>
    <n v="3671"/>
    <n v="3617"/>
    <n v="3531"/>
    <n v="3473"/>
    <n v="3421"/>
    <n v="3407"/>
    <n v="3356"/>
    <n v="3367"/>
    <n v="3290"/>
  </r>
  <r>
    <x v="14"/>
    <s v="Rūjienas novads"/>
    <n v="5516"/>
    <n v="5452"/>
    <n v="5321"/>
    <n v="5219"/>
    <n v="5156"/>
    <n v="5056"/>
    <n v="4992"/>
    <n v="4917"/>
    <n v="4913"/>
    <n v="4817"/>
  </r>
  <r>
    <x v="13"/>
    <s v="Salacgrīvas novads"/>
    <n v="8280"/>
    <n v="8182"/>
    <n v="8027"/>
    <n v="7959"/>
    <n v="7825"/>
    <n v="7574"/>
    <n v="7423"/>
    <n v="7228"/>
    <n v="7317"/>
    <n v="7282"/>
  </r>
  <r>
    <x v="11"/>
    <s v="Salas novads"/>
    <n v="3814"/>
    <n v="3793"/>
    <n v="3725"/>
    <n v="3646"/>
    <n v="3593"/>
    <n v="3496"/>
    <n v="3403"/>
    <n v="3332"/>
    <n v="3296"/>
    <n v="3241"/>
  </r>
  <r>
    <x v="13"/>
    <s v="Salaspils novads"/>
    <n v="22343"/>
    <n v="22314"/>
    <n v="22088"/>
    <n v="22208"/>
    <n v="22209"/>
    <n v="22291"/>
    <n v="22555"/>
    <n v="22659"/>
    <n v="22738"/>
    <n v="22868"/>
  </r>
  <r>
    <x v="12"/>
    <s v="Saldus novads"/>
    <n v="25267"/>
    <n v="24909"/>
    <n v="24494"/>
    <n v="24087"/>
    <n v="23661"/>
    <n v="23005"/>
    <n v="22422"/>
    <n v="22006"/>
    <n v="21778"/>
    <n v="21438"/>
  </r>
  <r>
    <x v="13"/>
    <s v="Saulkrastu novads"/>
    <n v="5845"/>
    <n v="5855"/>
    <n v="5773"/>
    <n v="5750"/>
    <n v="5690"/>
    <n v="5594"/>
    <n v="5751"/>
    <n v="6532"/>
    <n v="6871"/>
    <n v="7079"/>
  </r>
  <r>
    <x v="13"/>
    <s v="Sējas novads"/>
    <n v="2250"/>
    <n v="2246"/>
    <n v="2223"/>
    <n v="2229"/>
    <n v="2242"/>
    <n v="2185"/>
    <n v="2185"/>
    <n v="2128"/>
    <n v="2163"/>
    <n v="2151"/>
  </r>
  <r>
    <x v="13"/>
    <s v="Siguldas novads"/>
    <n v="16885"/>
    <n v="17055"/>
    <n v="17117"/>
    <n v="17322"/>
    <n v="17337"/>
    <n v="17258"/>
    <n v="17337"/>
    <n v="17761"/>
    <n v="18054"/>
    <n v="18081"/>
  </r>
  <r>
    <x v="11"/>
    <s v="Skrīveru novads"/>
    <n v="3652"/>
    <n v="3625"/>
    <n v="3554"/>
    <n v="3508"/>
    <n v="3474"/>
    <n v="3413"/>
    <n v="3366"/>
    <n v="3339"/>
    <n v="3413"/>
    <n v="3417"/>
  </r>
  <r>
    <x v="12"/>
    <s v="Skrundas novads"/>
    <n v="5274"/>
    <n v="5248"/>
    <n v="5142"/>
    <n v="5082"/>
    <n v="4922"/>
    <n v="4802"/>
    <n v="4747"/>
    <n v="4661"/>
    <n v="4592"/>
    <n v="4526"/>
  </r>
  <r>
    <x v="14"/>
    <s v="Smiltenes novads"/>
    <n v="13018"/>
    <n v="12956"/>
    <n v="12811"/>
    <n v="12697"/>
    <n v="12472"/>
    <n v="12290"/>
    <n v="12082"/>
    <n v="12015"/>
    <n v="12077"/>
    <n v="11945"/>
  </r>
  <r>
    <x v="13"/>
    <s v="Stopiņu novads"/>
    <n v="10075"/>
    <n v="10237"/>
    <n v="10195"/>
    <n v="10219"/>
    <n v="10237"/>
    <n v="10293"/>
    <n v="10492"/>
    <n v="10845"/>
    <n v="11563"/>
    <n v="12201"/>
  </r>
  <r>
    <x v="14"/>
    <s v="Strenču novads"/>
    <n v="3708"/>
    <n v="3589"/>
    <n v="3459"/>
    <n v="3334"/>
    <n v="3208"/>
    <n v="3077"/>
    <n v="2945"/>
    <n v="2915"/>
    <n v="2857"/>
    <n v="2892"/>
  </r>
  <r>
    <x v="12"/>
    <s v="Talsu novads"/>
    <n v="30845"/>
    <n v="30328"/>
    <n v="29747"/>
    <n v="29447"/>
    <n v="29004"/>
    <n v="28425"/>
    <n v="28071"/>
    <n v="27730"/>
    <n v="27689"/>
    <n v="27391"/>
  </r>
  <r>
    <x v="11"/>
    <s v="Tērvetes novads"/>
    <n v="3656"/>
    <n v="3579"/>
    <n v="3501"/>
    <n v="3438"/>
    <n v="3492"/>
    <n v="3398"/>
    <n v="3396"/>
    <n v="3339"/>
    <n v="3353"/>
    <n v="3273"/>
  </r>
  <r>
    <x v="13"/>
    <s v="Tukuma novads"/>
    <n v="30200"/>
    <n v="29719"/>
    <n v="29177"/>
    <n v="29069"/>
    <n v="28677"/>
    <n v="28221"/>
    <n v="27901"/>
    <n v="27848"/>
    <n v="27698"/>
    <n v="27614"/>
  </r>
  <r>
    <x v="12"/>
    <s v="Vaiņodes novads"/>
    <n v="2593"/>
    <n v="2583"/>
    <n v="2520"/>
    <n v="2469"/>
    <n v="2429"/>
    <n v="2397"/>
    <n v="2337"/>
    <n v="2285"/>
    <n v="2276"/>
    <n v="2216"/>
  </r>
  <r>
    <x v="14"/>
    <s v="Valkas novads"/>
    <n v="9082"/>
    <n v="8915"/>
    <n v="8664"/>
    <n v="8480"/>
    <n v="8269"/>
    <n v="8049"/>
    <n v="7813"/>
    <n v="7692"/>
    <n v="7684"/>
    <n v="7596"/>
  </r>
  <r>
    <x v="14"/>
    <s v="Varakļānu novads"/>
    <n v="3519"/>
    <n v="3481"/>
    <n v="3395"/>
    <n v="3340"/>
    <n v="3263"/>
    <n v="3216"/>
    <n v="3132"/>
    <n v="3056"/>
    <n v="3015"/>
    <n v="2945"/>
  </r>
  <r>
    <x v="10"/>
    <s v="Vārkavas novads"/>
    <n v="2099"/>
    <n v="2067"/>
    <n v="2034"/>
    <n v="2009"/>
    <n v="1961"/>
    <n v="1931"/>
    <n v="1869"/>
    <n v="1824"/>
    <n v="1830"/>
    <n v="1754"/>
  </r>
  <r>
    <x v="14"/>
    <s v="Vecpiebalgas novads"/>
    <n v="4129"/>
    <n v="4090"/>
    <n v="4030"/>
    <n v="3947"/>
    <n v="3849"/>
    <n v="3696"/>
    <n v="3615"/>
    <n v="3543"/>
    <n v="3645"/>
    <n v="3614"/>
  </r>
  <r>
    <x v="11"/>
    <s v="Vecumnieku novads"/>
    <n v="8691"/>
    <n v="8636"/>
    <n v="8486"/>
    <n v="8375"/>
    <n v="8263"/>
    <n v="7999"/>
    <n v="7893"/>
    <n v="7807"/>
    <n v="7848"/>
    <n v="7795"/>
  </r>
  <r>
    <x v="12"/>
    <s v="Ventspils novads"/>
    <n v="12053"/>
    <n v="12088"/>
    <n v="11859"/>
    <n v="11697"/>
    <n v="11450"/>
    <n v="11252"/>
    <n v="11061"/>
    <n v="10925"/>
    <n v="10936"/>
    <n v="10777"/>
  </r>
  <r>
    <x v="11"/>
    <s v="Viesītes novads"/>
    <n v="4070"/>
    <n v="4013"/>
    <n v="3965"/>
    <n v="3886"/>
    <n v="3815"/>
    <n v="3701"/>
    <n v="3619"/>
    <n v="3567"/>
    <n v="3574"/>
    <n v="3535"/>
  </r>
  <r>
    <x v="10"/>
    <s v="Viļakas novads"/>
    <n v="5560"/>
    <n v="5451"/>
    <n v="5314"/>
    <n v="5160"/>
    <n v="5015"/>
    <n v="4873"/>
    <n v="4733"/>
    <n v="4596"/>
    <n v="4551"/>
    <n v="4476"/>
  </r>
  <r>
    <x v="10"/>
    <s v="Viļānu novads"/>
    <n v="6344"/>
    <n v="6256"/>
    <n v="6113"/>
    <n v="6026"/>
    <n v="5904"/>
    <n v="5779"/>
    <n v="5659"/>
    <n v="5522"/>
    <n v="5506"/>
    <n v="5399"/>
  </r>
  <r>
    <x v="10"/>
    <s v="Zilupes novads"/>
    <n v="3312"/>
    <n v="3257"/>
    <n v="3167"/>
    <n v="3080"/>
    <n v="2989"/>
    <n v="2849"/>
    <n v="2766"/>
    <n v="2647"/>
    <n v="2621"/>
    <n v="254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
  <r>
    <n v="1893223"/>
    <n v="1876424"/>
    <n v="1859624"/>
    <n v="1842825"/>
    <n v="1826025"/>
    <n v="1809226"/>
    <n v="1792426"/>
    <n v="1775627"/>
    <n v="1758827"/>
    <n v="1742028"/>
    <x v="0"/>
  </r>
  <r>
    <n v="614618"/>
    <n v="615772"/>
    <n v="616925"/>
    <n v="618079"/>
    <n v="619232"/>
    <n v="620386"/>
    <n v="621539"/>
    <n v="622693"/>
    <n v="623846"/>
    <n v="625000"/>
    <x v="1"/>
  </r>
  <r>
    <n v="80627"/>
    <n v="79117"/>
    <n v="77607"/>
    <n v="76098"/>
    <n v="74588"/>
    <n v="73078"/>
    <n v="71568"/>
    <n v="70059"/>
    <n v="68549"/>
    <n v="67039"/>
    <x v="2"/>
  </r>
  <r>
    <n v="21629"/>
    <n v="21261"/>
    <n v="20893"/>
    <n v="20524"/>
    <n v="20156"/>
    <n v="19788"/>
    <n v="19420"/>
    <n v="19051"/>
    <n v="18683"/>
    <n v="18315"/>
    <x v="3"/>
  </r>
  <r>
    <n v="50248"/>
    <n v="49821"/>
    <n v="49394"/>
    <n v="48967"/>
    <n v="48540"/>
    <n v="48112"/>
    <n v="47685"/>
    <n v="47258"/>
    <n v="46831"/>
    <n v="46404"/>
    <x v="4"/>
  </r>
  <r>
    <n v="55336"/>
    <n v="54885"/>
    <n v="54435"/>
    <n v="53984"/>
    <n v="53533"/>
    <n v="53083"/>
    <n v="52632"/>
    <n v="52181"/>
    <n v="51731"/>
    <n v="51280"/>
    <x v="5"/>
  </r>
  <r>
    <n v="67964"/>
    <n v="66775"/>
    <n v="65587"/>
    <n v="64398"/>
    <n v="63210"/>
    <n v="62021"/>
    <n v="60833"/>
    <n v="59644"/>
    <n v="58456"/>
    <n v="57267"/>
    <x v="6"/>
  </r>
  <r>
    <n v="26839"/>
    <n v="26264"/>
    <n v="25689"/>
    <n v="25113"/>
    <n v="24538"/>
    <n v="23963"/>
    <n v="23388"/>
    <n v="22812"/>
    <n v="22237"/>
    <n v="21662"/>
    <x v="7"/>
  </r>
  <r>
    <n v="22971"/>
    <n v="22974"/>
    <n v="22977"/>
    <n v="22981"/>
    <n v="22984"/>
    <n v="22987"/>
    <n v="22990"/>
    <n v="22994"/>
    <n v="22997"/>
    <n v="23000"/>
    <x v="8"/>
  </r>
  <r>
    <n v="33372"/>
    <n v="32851"/>
    <n v="32329"/>
    <n v="31808"/>
    <n v="31287"/>
    <n v="30765"/>
    <n v="30244"/>
    <n v="29723"/>
    <n v="29201"/>
    <n v="28680"/>
    <x v="9"/>
  </r>
  <r>
    <n v="3042"/>
    <n v="2970"/>
    <n v="2897"/>
    <n v="2825"/>
    <n v="2753"/>
    <n v="2680"/>
    <n v="2608"/>
    <n v="2536"/>
    <n v="2463"/>
    <n v="2391"/>
    <x v="10"/>
  </r>
  <r>
    <n v="8017"/>
    <n v="7873"/>
    <n v="7729"/>
    <n v="7586"/>
    <n v="7442"/>
    <n v="7298"/>
    <n v="7154"/>
    <n v="7011"/>
    <n v="6867"/>
    <n v="6723"/>
    <x v="11"/>
  </r>
  <r>
    <n v="8083"/>
    <n v="7946"/>
    <n v="7809"/>
    <n v="7672"/>
    <n v="7535"/>
    <n v="7398"/>
    <n v="7261"/>
    <n v="7124"/>
    <n v="6987"/>
    <n v="6850"/>
    <x v="12"/>
  </r>
  <r>
    <n v="2546"/>
    <n v="2478"/>
    <n v="2410"/>
    <n v="2342"/>
    <n v="2274"/>
    <n v="2206"/>
    <n v="2138"/>
    <n v="2070"/>
    <n v="2002"/>
    <n v="1934"/>
    <x v="11"/>
  </r>
  <r>
    <n v="4520"/>
    <n v="4432"/>
    <n v="4345"/>
    <n v="4257"/>
    <n v="4169"/>
    <n v="4082"/>
    <n v="3994"/>
    <n v="3906"/>
    <n v="3819"/>
    <n v="3731"/>
    <x v="13"/>
  </r>
  <r>
    <n v="1303"/>
    <n v="1278"/>
    <n v="1254"/>
    <n v="1229"/>
    <n v="1204"/>
    <n v="1180"/>
    <n v="1155"/>
    <n v="1130"/>
    <n v="1106"/>
    <n v="1081"/>
    <x v="12"/>
  </r>
  <r>
    <n v="13861"/>
    <n v="13430"/>
    <n v="12998"/>
    <n v="12567"/>
    <n v="12136"/>
    <n v="11704"/>
    <n v="11273"/>
    <n v="10842"/>
    <n v="10410"/>
    <n v="9979"/>
    <x v="14"/>
  </r>
  <r>
    <n v="5042"/>
    <n v="4900"/>
    <n v="4758"/>
    <n v="4616"/>
    <n v="4474"/>
    <n v="4332"/>
    <n v="4190"/>
    <n v="4048"/>
    <n v="3906"/>
    <n v="3764"/>
    <x v="14"/>
  </r>
  <r>
    <n v="3205"/>
    <n v="3124"/>
    <n v="3043"/>
    <n v="2962"/>
    <n v="2881"/>
    <n v="2800"/>
    <n v="2719"/>
    <n v="2638"/>
    <n v="2557"/>
    <n v="2476"/>
    <x v="14"/>
  </r>
  <r>
    <n v="6025"/>
    <n v="5878"/>
    <n v="5732"/>
    <n v="5585"/>
    <n v="5439"/>
    <n v="5292"/>
    <n v="5146"/>
    <n v="4999"/>
    <n v="4853"/>
    <n v="4706"/>
    <x v="11"/>
  </r>
  <r>
    <n v="11824"/>
    <n v="12051"/>
    <n v="12277"/>
    <n v="12504"/>
    <n v="12731"/>
    <n v="12957"/>
    <n v="13184"/>
    <n v="13411"/>
    <n v="13637"/>
    <n v="13864"/>
    <x v="13"/>
  </r>
  <r>
    <n v="11247"/>
    <n v="11352"/>
    <n v="11457"/>
    <n v="11562"/>
    <n v="11667"/>
    <n v="11772"/>
    <n v="11877"/>
    <n v="11982"/>
    <n v="12087"/>
    <n v="12192"/>
    <x v="13"/>
  </r>
  <r>
    <n v="5446"/>
    <n v="5471"/>
    <n v="5496"/>
    <n v="5522"/>
    <n v="5547"/>
    <n v="5572"/>
    <n v="5597"/>
    <n v="5623"/>
    <n v="5648"/>
    <n v="5673"/>
    <x v="13"/>
  </r>
  <r>
    <n v="937"/>
    <n v="915"/>
    <n v="893"/>
    <n v="871"/>
    <n v="849"/>
    <n v="826"/>
    <n v="804"/>
    <n v="782"/>
    <n v="760"/>
    <n v="738"/>
    <x v="10"/>
  </r>
  <r>
    <n v="11576"/>
    <n v="11292"/>
    <n v="11008"/>
    <n v="10723"/>
    <n v="10439"/>
    <n v="10155"/>
    <n v="9871"/>
    <n v="9586"/>
    <n v="9302"/>
    <n v="9018"/>
    <x v="10"/>
  </r>
  <r>
    <n v="22259"/>
    <n v="21899"/>
    <n v="21539"/>
    <n v="21178"/>
    <n v="20818"/>
    <n v="20458"/>
    <n v="20098"/>
    <n v="19737"/>
    <n v="19377"/>
    <n v="19017"/>
    <x v="11"/>
  </r>
  <r>
    <n v="2948"/>
    <n v="2895"/>
    <n v="2842"/>
    <n v="2788"/>
    <n v="2735"/>
    <n v="2682"/>
    <n v="2629"/>
    <n v="2575"/>
    <n v="2522"/>
    <n v="2469"/>
    <x v="14"/>
  </r>
  <r>
    <n v="5672"/>
    <n v="5556"/>
    <n v="5440"/>
    <n v="5325"/>
    <n v="5209"/>
    <n v="5093"/>
    <n v="4977"/>
    <n v="4862"/>
    <n v="4746"/>
    <n v="4630"/>
    <x v="12"/>
  </r>
  <r>
    <n v="7410"/>
    <n v="7314"/>
    <n v="7218"/>
    <n v="7122"/>
    <n v="7026"/>
    <n v="6929"/>
    <n v="6833"/>
    <n v="6737"/>
    <n v="6641"/>
    <n v="6545"/>
    <x v="14"/>
  </r>
  <r>
    <n v="9310"/>
    <n v="9290"/>
    <n v="9269"/>
    <n v="9249"/>
    <n v="9228"/>
    <n v="9208"/>
    <n v="9187"/>
    <n v="9167"/>
    <n v="9146"/>
    <n v="9126"/>
    <x v="13"/>
  </r>
  <r>
    <n v="2253"/>
    <n v="2198"/>
    <n v="2144"/>
    <n v="2089"/>
    <n v="2035"/>
    <n v="1980"/>
    <n v="1926"/>
    <n v="1871"/>
    <n v="1817"/>
    <n v="1762"/>
    <x v="14"/>
  </r>
  <r>
    <n v="16143"/>
    <n v="15785"/>
    <n v="15426"/>
    <n v="15068"/>
    <n v="14710"/>
    <n v="14351"/>
    <n v="13993"/>
    <n v="13635"/>
    <n v="13276"/>
    <n v="12918"/>
    <x v="14"/>
  </r>
  <r>
    <n v="2362"/>
    <n v="2316"/>
    <n v="2270"/>
    <n v="2225"/>
    <n v="2179"/>
    <n v="2133"/>
    <n v="2087"/>
    <n v="2042"/>
    <n v="1996"/>
    <n v="1950"/>
    <x v="10"/>
  </r>
  <r>
    <n v="6475"/>
    <n v="6316"/>
    <n v="6156"/>
    <n v="5997"/>
    <n v="5838"/>
    <n v="5678"/>
    <n v="5519"/>
    <n v="5360"/>
    <n v="5200"/>
    <n v="5041"/>
    <x v="10"/>
  </r>
  <r>
    <n v="19553"/>
    <n v="18967"/>
    <n v="18381"/>
    <n v="17794"/>
    <n v="17208"/>
    <n v="16622"/>
    <n v="16036"/>
    <n v="15449"/>
    <n v="14863"/>
    <n v="14277"/>
    <x v="10"/>
  </r>
  <r>
    <n v="19219"/>
    <n v="18842"/>
    <n v="18464"/>
    <n v="18087"/>
    <n v="17709"/>
    <n v="17332"/>
    <n v="16954"/>
    <n v="16577"/>
    <n v="16199"/>
    <n v="15822"/>
    <x v="11"/>
  </r>
  <r>
    <n v="3487"/>
    <n v="3431"/>
    <n v="3374"/>
    <n v="3318"/>
    <n v="3261"/>
    <n v="3205"/>
    <n v="3148"/>
    <n v="3092"/>
    <n v="3035"/>
    <n v="2979"/>
    <x v="12"/>
  </r>
  <r>
    <n v="2620"/>
    <n v="2563"/>
    <n v="2506"/>
    <n v="2449"/>
    <n v="2392"/>
    <n v="2335"/>
    <n v="2278"/>
    <n v="2221"/>
    <n v="2164"/>
    <n v="2107"/>
    <x v="12"/>
  </r>
  <r>
    <n v="7147"/>
    <n v="7052"/>
    <n v="6956"/>
    <n v="6861"/>
    <n v="6765"/>
    <n v="6670"/>
    <n v="6574"/>
    <n v="6479"/>
    <n v="6383"/>
    <n v="6288"/>
    <x v="13"/>
  </r>
  <r>
    <n v="2600"/>
    <n v="2533"/>
    <n v="2466"/>
    <n v="2399"/>
    <n v="2332"/>
    <n v="2266"/>
    <n v="2199"/>
    <n v="2132"/>
    <n v="2065"/>
    <n v="1998"/>
    <x v="14"/>
  </r>
  <r>
    <n v="9425"/>
    <n v="9469"/>
    <n v="9512"/>
    <n v="9556"/>
    <n v="9599"/>
    <n v="9643"/>
    <n v="9686"/>
    <n v="9730"/>
    <n v="9773"/>
    <n v="9817"/>
    <x v="13"/>
  </r>
  <r>
    <n v="8329"/>
    <n v="8186"/>
    <n v="8043"/>
    <n v="7900"/>
    <n v="7757"/>
    <n v="7613"/>
    <n v="7470"/>
    <n v="7327"/>
    <n v="7184"/>
    <n v="7041"/>
    <x v="12"/>
  </r>
  <r>
    <n v="19619"/>
    <n v="19190"/>
    <n v="18761"/>
    <n v="18332"/>
    <n v="17903"/>
    <n v="17475"/>
    <n v="17046"/>
    <n v="16617"/>
    <n v="16188"/>
    <n v="15759"/>
    <x v="14"/>
  </r>
  <r>
    <n v="8411"/>
    <n v="8295"/>
    <n v="8179"/>
    <n v="8062"/>
    <n v="7946"/>
    <n v="7830"/>
    <n v="7714"/>
    <n v="7597"/>
    <n v="7481"/>
    <n v="7365"/>
    <x v="11"/>
  </r>
  <r>
    <n v="9967"/>
    <n v="10074"/>
    <n v="10181"/>
    <n v="10288"/>
    <n v="10395"/>
    <n v="10502"/>
    <n v="10609"/>
    <n v="10716"/>
    <n v="10823"/>
    <n v="10930"/>
    <x v="13"/>
  </r>
  <r>
    <n v="6374"/>
    <n v="6227"/>
    <n v="6081"/>
    <n v="5934"/>
    <n v="5787"/>
    <n v="5641"/>
    <n v="5494"/>
    <n v="5347"/>
    <n v="5201"/>
    <n v="5054"/>
    <x v="10"/>
  </r>
  <r>
    <n v="7622"/>
    <n v="7548"/>
    <n v="7474"/>
    <n v="7400"/>
    <n v="7326"/>
    <n v="7253"/>
    <n v="7179"/>
    <n v="7105"/>
    <n v="7031"/>
    <n v="6957"/>
    <x v="13"/>
  </r>
  <r>
    <n v="5039"/>
    <n v="4966"/>
    <n v="4893"/>
    <n v="4820"/>
    <n v="4747"/>
    <n v="4674"/>
    <n v="4601"/>
    <n v="4528"/>
    <n v="4455"/>
    <n v="4382"/>
    <x v="11"/>
  </r>
  <r>
    <n v="1992"/>
    <n v="1942"/>
    <n v="1893"/>
    <n v="1843"/>
    <n v="1793"/>
    <n v="1744"/>
    <n v="1694"/>
    <n v="1644"/>
    <n v="1595"/>
    <n v="1545"/>
    <x v="14"/>
  </r>
  <r>
    <n v="2188"/>
    <n v="2158"/>
    <n v="2128"/>
    <n v="2098"/>
    <n v="2068"/>
    <n v="2038"/>
    <n v="2008"/>
    <n v="1978"/>
    <n v="1948"/>
    <n v="1918"/>
    <x v="13"/>
  </r>
  <r>
    <n v="22021"/>
    <n v="21627"/>
    <n v="21232"/>
    <n v="20838"/>
    <n v="20443"/>
    <n v="20049"/>
    <n v="19654"/>
    <n v="19260"/>
    <n v="18865"/>
    <n v="18471"/>
    <x v="11"/>
  </r>
  <r>
    <n v="4164"/>
    <n v="4079"/>
    <n v="3994"/>
    <n v="3908"/>
    <n v="3823"/>
    <n v="3738"/>
    <n v="3653"/>
    <n v="3567"/>
    <n v="3482"/>
    <n v="3397"/>
    <x v="11"/>
  </r>
  <r>
    <n v="7462"/>
    <n v="7332"/>
    <n v="7203"/>
    <n v="7073"/>
    <n v="6943"/>
    <n v="6814"/>
    <n v="6684"/>
    <n v="6554"/>
    <n v="6425"/>
    <n v="6295"/>
    <x v="13"/>
  </r>
  <r>
    <n v="5127"/>
    <n v="5004"/>
    <n v="4880"/>
    <n v="4757"/>
    <n v="4634"/>
    <n v="4510"/>
    <n v="4387"/>
    <n v="4264"/>
    <n v="4140"/>
    <n v="4017"/>
    <x v="10"/>
  </r>
  <r>
    <n v="5776"/>
    <n v="5687"/>
    <n v="5598"/>
    <n v="5509"/>
    <n v="5420"/>
    <n v="5331"/>
    <n v="5242"/>
    <n v="5153"/>
    <n v="5064"/>
    <n v="4975"/>
    <x v="14"/>
  </r>
  <r>
    <n v="4851"/>
    <n v="4789"/>
    <n v="4727"/>
    <n v="4665"/>
    <n v="4603"/>
    <n v="4540"/>
    <n v="4478"/>
    <n v="4416"/>
    <n v="4354"/>
    <n v="4292"/>
    <x v="11"/>
  </r>
  <r>
    <n v="13533"/>
    <n v="13158"/>
    <n v="12782"/>
    <n v="12407"/>
    <n v="12032"/>
    <n v="11656"/>
    <n v="11281"/>
    <n v="10906"/>
    <n v="10530"/>
    <n v="10155"/>
    <x v="10"/>
  </r>
  <r>
    <n v="4833"/>
    <n v="4764"/>
    <n v="4694"/>
    <n v="4625"/>
    <n v="4556"/>
    <n v="4486"/>
    <n v="4417"/>
    <n v="4348"/>
    <n v="4278"/>
    <n v="4209"/>
    <x v="13"/>
  </r>
  <r>
    <n v="5461"/>
    <n v="5389"/>
    <n v="5317"/>
    <n v="5244"/>
    <n v="5172"/>
    <n v="5100"/>
    <n v="5028"/>
    <n v="4955"/>
    <n v="4883"/>
    <n v="4811"/>
    <x v="11"/>
  </r>
  <r>
    <n v="21907"/>
    <n v="21570"/>
    <n v="21234"/>
    <n v="20897"/>
    <n v="20561"/>
    <n v="20224"/>
    <n v="19888"/>
    <n v="19551"/>
    <n v="19215"/>
    <n v="18878"/>
    <x v="12"/>
  </r>
  <r>
    <n v="5313"/>
    <n v="5254"/>
    <n v="5196"/>
    <n v="5137"/>
    <n v="5079"/>
    <n v="5020"/>
    <n v="4962"/>
    <n v="4903"/>
    <n v="4845"/>
    <n v="4786"/>
    <x v="13"/>
  </r>
  <r>
    <n v="24631"/>
    <n v="24660"/>
    <n v="24688"/>
    <n v="24717"/>
    <n v="24746"/>
    <n v="24774"/>
    <n v="24803"/>
    <n v="24832"/>
    <n v="24860"/>
    <n v="24889"/>
    <x v="13"/>
  </r>
  <r>
    <n v="9547"/>
    <n v="9451"/>
    <n v="9356"/>
    <n v="9260"/>
    <n v="9164"/>
    <n v="9069"/>
    <n v="8973"/>
    <n v="8877"/>
    <n v="8782"/>
    <n v="8686"/>
    <x v="13"/>
  </r>
  <r>
    <n v="16744"/>
    <n v="16441"/>
    <n v="16138"/>
    <n v="15835"/>
    <n v="15532"/>
    <n v="15229"/>
    <n v="14926"/>
    <n v="14623"/>
    <n v="14320"/>
    <n v="14017"/>
    <x v="13"/>
  </r>
  <r>
    <n v="3258"/>
    <n v="3171"/>
    <n v="3085"/>
    <n v="2998"/>
    <n v="2911"/>
    <n v="2825"/>
    <n v="2738"/>
    <n v="2651"/>
    <n v="2565"/>
    <n v="2478"/>
    <x v="14"/>
  </r>
  <r>
    <n v="10636"/>
    <n v="10414"/>
    <n v="10192"/>
    <n v="9970"/>
    <n v="9748"/>
    <n v="9525"/>
    <n v="9303"/>
    <n v="9081"/>
    <n v="8859"/>
    <n v="8637"/>
    <x v="10"/>
  </r>
  <r>
    <n v="2163"/>
    <n v="2123"/>
    <n v="2083"/>
    <n v="2044"/>
    <n v="2004"/>
    <n v="1964"/>
    <n v="1924"/>
    <n v="1885"/>
    <n v="1845"/>
    <n v="1805"/>
    <x v="14"/>
  </r>
  <r>
    <n v="11739"/>
    <n v="11499"/>
    <n v="11259"/>
    <n v="11019"/>
    <n v="10779"/>
    <n v="10539"/>
    <n v="10299"/>
    <n v="10059"/>
    <n v="9819"/>
    <n v="9579"/>
    <x v="10"/>
  </r>
  <r>
    <n v="21676"/>
    <n v="21228"/>
    <n v="20780"/>
    <n v="20332"/>
    <n v="19884"/>
    <n v="19437"/>
    <n v="18989"/>
    <n v="18541"/>
    <n v="18093"/>
    <n v="17645"/>
    <x v="14"/>
  </r>
  <r>
    <n v="2867"/>
    <n v="2790"/>
    <n v="2714"/>
    <n v="2637"/>
    <n v="2560"/>
    <n v="2484"/>
    <n v="2407"/>
    <n v="2330"/>
    <n v="2254"/>
    <n v="2177"/>
    <x v="14"/>
  </r>
  <r>
    <n v="3324"/>
    <n v="3296"/>
    <n v="3268"/>
    <n v="3239"/>
    <n v="3211"/>
    <n v="3183"/>
    <n v="3155"/>
    <n v="3126"/>
    <n v="3098"/>
    <n v="3070"/>
    <x v="13"/>
  </r>
  <r>
    <n v="21577"/>
    <n v="22373"/>
    <n v="23169"/>
    <n v="23965"/>
    <n v="24761"/>
    <n v="25556"/>
    <n v="26352"/>
    <n v="27148"/>
    <n v="27944"/>
    <n v="28740"/>
    <x v="13"/>
  </r>
  <r>
    <n v="1431"/>
    <n v="1408"/>
    <n v="1385"/>
    <n v="1361"/>
    <n v="1338"/>
    <n v="1315"/>
    <n v="1292"/>
    <n v="1268"/>
    <n v="1245"/>
    <n v="1222"/>
    <x v="12"/>
  </r>
  <r>
    <n v="1689"/>
    <n v="1642"/>
    <n v="1596"/>
    <n v="1549"/>
    <n v="1503"/>
    <n v="1456"/>
    <n v="1410"/>
    <n v="1363"/>
    <n v="1317"/>
    <n v="1270"/>
    <x v="14"/>
  </r>
  <r>
    <n v="3278"/>
    <n v="3221"/>
    <n v="3164"/>
    <n v="3107"/>
    <n v="3050"/>
    <n v="2994"/>
    <n v="2937"/>
    <n v="2880"/>
    <n v="2823"/>
    <n v="2766"/>
    <x v="11"/>
  </r>
  <r>
    <n v="3113"/>
    <n v="3058"/>
    <n v="3003"/>
    <n v="2947"/>
    <n v="2892"/>
    <n v="2837"/>
    <n v="2782"/>
    <n v="2726"/>
    <n v="2671"/>
    <n v="2616"/>
    <x v="12"/>
  </r>
  <r>
    <n v="32790"/>
    <n v="32305"/>
    <n v="31820"/>
    <n v="31334"/>
    <n v="30849"/>
    <n v="30364"/>
    <n v="29879"/>
    <n v="29393"/>
    <n v="28908"/>
    <n v="28423"/>
    <x v="13"/>
  </r>
  <r>
    <n v="19705"/>
    <n v="19494"/>
    <n v="19283"/>
    <n v="19071"/>
    <n v="18860"/>
    <n v="18649"/>
    <n v="18438"/>
    <n v="18226"/>
    <n v="18015"/>
    <n v="17804"/>
    <x v="13"/>
  </r>
  <r>
    <n v="9948"/>
    <n v="9970"/>
    <n v="9993"/>
    <n v="10015"/>
    <n v="10038"/>
    <n v="10060"/>
    <n v="10083"/>
    <n v="10105"/>
    <n v="10128"/>
    <n v="10150"/>
    <x v="11"/>
  </r>
  <r>
    <n v="3603"/>
    <n v="3540"/>
    <n v="3477"/>
    <n v="3415"/>
    <n v="3352"/>
    <n v="3289"/>
    <n v="3226"/>
    <n v="3164"/>
    <n v="3101"/>
    <n v="3038"/>
    <x v="14"/>
  </r>
  <r>
    <n v="2543"/>
    <n v="2498"/>
    <n v="2453"/>
    <n v="2408"/>
    <n v="2363"/>
    <n v="2317"/>
    <n v="2272"/>
    <n v="2227"/>
    <n v="2182"/>
    <n v="2137"/>
    <x v="12"/>
  </r>
  <r>
    <n v="4765"/>
    <n v="4677"/>
    <n v="4589"/>
    <n v="4501"/>
    <n v="4413"/>
    <n v="4324"/>
    <n v="4236"/>
    <n v="4148"/>
    <n v="4060"/>
    <n v="3972"/>
    <x v="11"/>
  </r>
  <r>
    <n v="8948"/>
    <n v="8762"/>
    <n v="8577"/>
    <n v="8391"/>
    <n v="8205"/>
    <n v="8020"/>
    <n v="7834"/>
    <n v="7648"/>
    <n v="7463"/>
    <n v="7277"/>
    <x v="10"/>
  </r>
  <r>
    <n v="4955"/>
    <n v="4868"/>
    <n v="4781"/>
    <n v="4693"/>
    <n v="4606"/>
    <n v="4519"/>
    <n v="4432"/>
    <n v="4344"/>
    <n v="4257"/>
    <n v="4170"/>
    <x v="12"/>
  </r>
  <r>
    <n v="7509"/>
    <n v="7377"/>
    <n v="7245"/>
    <n v="7113"/>
    <n v="6981"/>
    <n v="6848"/>
    <n v="6716"/>
    <n v="6584"/>
    <n v="6452"/>
    <n v="6320"/>
    <x v="14"/>
  </r>
  <r>
    <n v="3005"/>
    <n v="2919"/>
    <n v="2832"/>
    <n v="2746"/>
    <n v="2660"/>
    <n v="2573"/>
    <n v="2487"/>
    <n v="2401"/>
    <n v="2314"/>
    <n v="2228"/>
    <x v="14"/>
  </r>
  <r>
    <n v="24244"/>
    <n v="23823"/>
    <n v="23402"/>
    <n v="22982"/>
    <n v="22561"/>
    <n v="22140"/>
    <n v="21719"/>
    <n v="21299"/>
    <n v="20878"/>
    <n v="20457"/>
    <x v="10"/>
  </r>
  <r>
    <n v="4466"/>
    <n v="4370"/>
    <n v="4275"/>
    <n v="4179"/>
    <n v="4084"/>
    <n v="3988"/>
    <n v="3893"/>
    <n v="3797"/>
    <n v="3702"/>
    <n v="3606"/>
    <x v="10"/>
  </r>
  <r>
    <n v="3390"/>
    <n v="3328"/>
    <n v="3266"/>
    <n v="3204"/>
    <n v="3142"/>
    <n v="3079"/>
    <n v="3017"/>
    <n v="2955"/>
    <n v="2893"/>
    <n v="2831"/>
    <x v="12"/>
  </r>
  <r>
    <n v="6836"/>
    <n v="6846"/>
    <n v="6856"/>
    <n v="6865"/>
    <n v="6875"/>
    <n v="6885"/>
    <n v="6895"/>
    <n v="6904"/>
    <n v="6914"/>
    <n v="6924"/>
    <x v="13"/>
  </r>
  <r>
    <n v="1505"/>
    <n v="1463"/>
    <n v="1421"/>
    <n v="1379"/>
    <n v="1337"/>
    <n v="1295"/>
    <n v="1253"/>
    <n v="1211"/>
    <n v="1169"/>
    <n v="1127"/>
    <x v="12"/>
  </r>
  <r>
    <n v="2026"/>
    <n v="2003"/>
    <n v="1980"/>
    <n v="1957"/>
    <n v="1934"/>
    <n v="1910"/>
    <n v="1887"/>
    <n v="1864"/>
    <n v="1841"/>
    <n v="1818"/>
    <x v="10"/>
  </r>
  <r>
    <n v="3290"/>
    <n v="3249"/>
    <n v="3207"/>
    <n v="3166"/>
    <n v="3124"/>
    <n v="3083"/>
    <n v="3041"/>
    <n v="3000"/>
    <n v="2958"/>
    <n v="2917"/>
    <x v="11"/>
  </r>
  <r>
    <n v="4817"/>
    <n v="4711"/>
    <n v="4605"/>
    <n v="4500"/>
    <n v="4394"/>
    <n v="4288"/>
    <n v="4182"/>
    <n v="4077"/>
    <n v="3971"/>
    <n v="3865"/>
    <x v="14"/>
  </r>
  <r>
    <n v="7282"/>
    <n v="7147"/>
    <n v="7012"/>
    <n v="6877"/>
    <n v="6742"/>
    <n v="6606"/>
    <n v="6471"/>
    <n v="6336"/>
    <n v="6201"/>
    <n v="6066"/>
    <x v="13"/>
  </r>
  <r>
    <n v="3241"/>
    <n v="3189"/>
    <n v="3138"/>
    <n v="3086"/>
    <n v="3035"/>
    <n v="2983"/>
    <n v="2932"/>
    <n v="2880"/>
    <n v="2829"/>
    <n v="2777"/>
    <x v="11"/>
  </r>
  <r>
    <n v="22868"/>
    <n v="23017"/>
    <n v="23165"/>
    <n v="23314"/>
    <n v="23462"/>
    <n v="23611"/>
    <n v="23759"/>
    <n v="23908"/>
    <n v="24056"/>
    <n v="24205"/>
    <x v="13"/>
  </r>
  <r>
    <n v="21438"/>
    <n v="20996"/>
    <n v="20554"/>
    <n v="20112"/>
    <n v="19670"/>
    <n v="19227"/>
    <n v="18785"/>
    <n v="18343"/>
    <n v="17901"/>
    <n v="17459"/>
    <x v="12"/>
  </r>
  <r>
    <n v="7079"/>
    <n v="6951"/>
    <n v="6823"/>
    <n v="6695"/>
    <n v="6567"/>
    <n v="6438"/>
    <n v="6310"/>
    <n v="6182"/>
    <n v="6054"/>
    <n v="5926"/>
    <x v="13"/>
  </r>
  <r>
    <n v="2151"/>
    <n v="2135"/>
    <n v="2120"/>
    <n v="2104"/>
    <n v="2089"/>
    <n v="2073"/>
    <n v="2058"/>
    <n v="2042"/>
    <n v="2027"/>
    <n v="2011"/>
    <x v="13"/>
  </r>
  <r>
    <n v="18081"/>
    <n v="18101"/>
    <n v="18121"/>
    <n v="18140"/>
    <n v="18160"/>
    <n v="18180"/>
    <n v="18200"/>
    <n v="18219"/>
    <n v="18239"/>
    <n v="18259"/>
    <x v="13"/>
  </r>
  <r>
    <n v="3417"/>
    <n v="3351"/>
    <n v="3285"/>
    <n v="3219"/>
    <n v="3153"/>
    <n v="3086"/>
    <n v="3020"/>
    <n v="2954"/>
    <n v="2888"/>
    <n v="2822"/>
    <x v="11"/>
  </r>
  <r>
    <n v="4526"/>
    <n v="4445"/>
    <n v="4365"/>
    <n v="4284"/>
    <n v="4203"/>
    <n v="4123"/>
    <n v="4042"/>
    <n v="3961"/>
    <n v="3881"/>
    <n v="3800"/>
    <x v="12"/>
  </r>
  <r>
    <n v="11945"/>
    <n v="11724"/>
    <n v="11503"/>
    <n v="11282"/>
    <n v="11061"/>
    <n v="10840"/>
    <n v="10619"/>
    <n v="10398"/>
    <n v="10177"/>
    <n v="9956"/>
    <x v="14"/>
  </r>
  <r>
    <n v="12201"/>
    <n v="12096"/>
    <n v="11992"/>
    <n v="11887"/>
    <n v="11782"/>
    <n v="11678"/>
    <n v="11573"/>
    <n v="11468"/>
    <n v="11364"/>
    <n v="11259"/>
    <x v="13"/>
  </r>
  <r>
    <n v="2892"/>
    <n v="2758"/>
    <n v="2624"/>
    <n v="2489"/>
    <n v="2355"/>
    <n v="2221"/>
    <n v="2087"/>
    <n v="1952"/>
    <n v="1818"/>
    <n v="1684"/>
    <x v="14"/>
  </r>
  <r>
    <n v="27391"/>
    <n v="26899"/>
    <n v="26407"/>
    <n v="25915"/>
    <n v="25423"/>
    <n v="24930"/>
    <n v="24438"/>
    <n v="23946"/>
    <n v="23454"/>
    <n v="22962"/>
    <x v="12"/>
  </r>
  <r>
    <n v="3273"/>
    <n v="3233"/>
    <n v="3192"/>
    <n v="3152"/>
    <n v="3112"/>
    <n v="3071"/>
    <n v="3031"/>
    <n v="2991"/>
    <n v="2950"/>
    <n v="2910"/>
    <x v="11"/>
  </r>
  <r>
    <n v="27614"/>
    <n v="27160"/>
    <n v="26707"/>
    <n v="26253"/>
    <n v="25799"/>
    <n v="25346"/>
    <n v="24892"/>
    <n v="24438"/>
    <n v="23985"/>
    <n v="23531"/>
    <x v="13"/>
  </r>
  <r>
    <n v="2216"/>
    <n v="2181"/>
    <n v="2145"/>
    <n v="2110"/>
    <n v="2074"/>
    <n v="2039"/>
    <n v="2003"/>
    <n v="1968"/>
    <n v="1932"/>
    <n v="1897"/>
    <x v="12"/>
  </r>
  <r>
    <n v="7596"/>
    <n v="7345"/>
    <n v="7094"/>
    <n v="6844"/>
    <n v="6593"/>
    <n v="6342"/>
    <n v="6091"/>
    <n v="5841"/>
    <n v="5590"/>
    <n v="5339"/>
    <x v="14"/>
  </r>
  <r>
    <n v="2945"/>
    <n v="2880"/>
    <n v="2815"/>
    <n v="2751"/>
    <n v="2686"/>
    <n v="2621"/>
    <n v="2556"/>
    <n v="2492"/>
    <n v="2427"/>
    <n v="2362"/>
    <x v="14"/>
  </r>
  <r>
    <n v="1754"/>
    <n v="1724"/>
    <n v="1695"/>
    <n v="1665"/>
    <n v="1636"/>
    <n v="1606"/>
    <n v="1577"/>
    <n v="1547"/>
    <n v="1518"/>
    <n v="1488"/>
    <x v="10"/>
  </r>
  <r>
    <n v="3614"/>
    <n v="3506"/>
    <n v="3398"/>
    <n v="3290"/>
    <n v="3182"/>
    <n v="3074"/>
    <n v="2966"/>
    <n v="2858"/>
    <n v="2750"/>
    <n v="2642"/>
    <x v="14"/>
  </r>
  <r>
    <n v="7795"/>
    <n v="7650"/>
    <n v="7505"/>
    <n v="7359"/>
    <n v="7214"/>
    <n v="7069"/>
    <n v="6924"/>
    <n v="6778"/>
    <n v="6633"/>
    <n v="6488"/>
    <x v="11"/>
  </r>
  <r>
    <n v="10777"/>
    <n v="10610"/>
    <n v="10443"/>
    <n v="10275"/>
    <n v="10108"/>
    <n v="9941"/>
    <n v="9774"/>
    <n v="9606"/>
    <n v="9439"/>
    <n v="9272"/>
    <x v="12"/>
  </r>
  <r>
    <n v="3535"/>
    <n v="3451"/>
    <n v="3367"/>
    <n v="3283"/>
    <n v="3199"/>
    <n v="3116"/>
    <n v="3032"/>
    <n v="2948"/>
    <n v="2864"/>
    <n v="2780"/>
    <x v="11"/>
  </r>
  <r>
    <n v="4476"/>
    <n v="4352"/>
    <n v="4228"/>
    <n v="4104"/>
    <n v="3980"/>
    <n v="3855"/>
    <n v="3731"/>
    <n v="3607"/>
    <n v="3483"/>
    <n v="3359"/>
    <x v="10"/>
  </r>
  <r>
    <n v="5399"/>
    <n v="5293"/>
    <n v="5186"/>
    <n v="5080"/>
    <n v="4973"/>
    <n v="4867"/>
    <n v="4760"/>
    <n v="4654"/>
    <n v="4547"/>
    <n v="4441"/>
    <x v="10"/>
  </r>
  <r>
    <n v="2549"/>
    <n v="2479"/>
    <n v="2410"/>
    <n v="2340"/>
    <n v="2270"/>
    <n v="2201"/>
    <n v="2131"/>
    <n v="2061"/>
    <n v="1992"/>
    <n v="1922"/>
    <x v="1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
  <r>
    <s v="LATVIJA KOPĀ"/>
    <x v="0"/>
    <s v="n/a"/>
    <x v="0"/>
    <n v="64573"/>
    <n v="1893223"/>
    <n v="1876426"/>
    <n v="1859631"/>
    <n v="1742028"/>
    <n v="31075056.674999997"/>
    <n v="32659884.565424994"/>
    <n v="33900960.178911142"/>
    <n v="41020161.816482484"/>
    <n v="853164.62430482276"/>
    <n v="865619.84256996086"/>
    <n v="873269.20361653226"/>
    <n v="1056655.7363760041"/>
    <n v="204759.50983315747"/>
    <n v="207748.76221679061"/>
    <n v="209584.60886796776"/>
    <n v="253597.37673024097"/>
  </r>
  <r>
    <s v="Rīga"/>
    <x v="1"/>
    <s v="Rīga"/>
    <x v="1"/>
    <n v="304"/>
    <n v="614618"/>
    <n v="615772"/>
    <n v="616925"/>
    <n v="625000"/>
    <n v="17476089.690851513"/>
    <n v="18367370.265084941"/>
    <n v="19065330.335158169"/>
    <n v="23069049.705541383"/>
    <n v="479805.44818789844"/>
    <n v="486810.05364355963"/>
    <n v="491111.92575680139"/>
    <n v="495705.50030118669"/>
    <n v="115153.30756509562"/>
    <n v="116834.41287445431"/>
    <n v="117866.86218163234"/>
    <n v="118969.3200722848"/>
  </r>
  <r>
    <s v="Daugavpils"/>
    <x v="2"/>
    <s v="Daugavpils"/>
    <x v="2"/>
    <n v="72"/>
    <n v="80627"/>
    <n v="79117"/>
    <n v="77607"/>
    <n v="67039"/>
    <n v="738858.72397600824"/>
    <n v="776540.51889878465"/>
    <n v="806049.05861693854"/>
    <n v="975319.36092649563"/>
    <n v="20285.341141870402"/>
    <n v="20581.483696668256"/>
    <n v="20763.359379187881"/>
    <n v="20957.56773393957"/>
    <n v="4868.4818740488963"/>
    <n v="4939.5560872003816"/>
    <n v="4983.2062510050919"/>
    <n v="5029.8162561454974"/>
  </r>
  <r>
    <s v="Jēkabpils"/>
    <x v="3"/>
    <s v="Jēkabpils novads"/>
    <x v="2"/>
    <n v="25"/>
    <n v="21629"/>
    <n v="21261"/>
    <n v="20893"/>
    <n v="18315"/>
    <n v="249971.80159214966"/>
    <n v="262720.36347334925"/>
    <n v="272703.73728533654"/>
    <n v="329971.52211525722"/>
    <n v="6862.9673124213568"/>
    <n v="6963.1587097057509"/>
    <n v="7024.6911658437512"/>
    <n v="7090.3960303140302"/>
    <n v="1647.1121549811257"/>
    <n v="1671.1580903293802"/>
    <n v="1685.9258798025003"/>
    <n v="1701.6950472753674"/>
  </r>
  <r>
    <s v="Jūrmala"/>
    <x v="4"/>
    <s v="Jūrmala"/>
    <x v="3"/>
    <n v="101"/>
    <n v="50248"/>
    <n v="49821"/>
    <n v="49394"/>
    <n v="46404"/>
    <n v="449115.7015194947"/>
    <n v="472020.60229698889"/>
    <n v="489957.38518427446"/>
    <n v="592848.43607297214"/>
    <n v="12330.456313038299"/>
    <n v="12510.466735777967"/>
    <n v="12621.019974297744"/>
    <n v="12739.069634746884"/>
    <n v="2959.3095151291923"/>
    <n v="3002.5120165867124"/>
    <n v="3029.0447938314587"/>
    <n v="3057.3767123392522"/>
  </r>
  <r>
    <s v="Jelgava"/>
    <x v="5"/>
    <s v="Jelgava"/>
    <x v="1"/>
    <n v="60"/>
    <n v="55336"/>
    <n v="54885"/>
    <n v="54435"/>
    <n v="51280"/>
    <n v="621956.14901143278"/>
    <n v="653675.91261101584"/>
    <n v="678515.59729023441"/>
    <n v="821003.87272118358"/>
    <n v="17075.784921490042"/>
    <n v="17325.071661923066"/>
    <n v="17478.170888376"/>
    <n v="17641.651505857521"/>
    <n v="4098.1883811576099"/>
    <n v="4158.0171988615357"/>
    <n v="4194.76101321024"/>
    <n v="4233.9963614058051"/>
  </r>
  <r>
    <s v="Liepāja"/>
    <x v="6"/>
    <s v="Liepāja"/>
    <x v="4"/>
    <n v="68"/>
    <n v="67964"/>
    <n v="66775"/>
    <n v="65587"/>
    <n v="57267"/>
    <n v="956530.2654413135"/>
    <n v="1005313.3089788205"/>
    <n v="1043515.2147200156"/>
    <n v="1262653.409811219"/>
    <n v="26261.50591087959"/>
    <n v="26644.893569923403"/>
    <n v="26880.350754406027"/>
    <n v="27131.773879143453"/>
    <n v="6302.7614186111014"/>
    <n v="6394.7744567816171"/>
    <n v="6451.2841810574464"/>
    <n v="6511.6257309944294"/>
  </r>
  <r>
    <s v="Rēzekne"/>
    <x v="7"/>
    <s v="Rēzekne"/>
    <x v="2"/>
    <n v="18"/>
    <n v="26839"/>
    <n v="26264"/>
    <n v="25689"/>
    <n v="21662"/>
    <n v="301295.35124424868"/>
    <n v="316661.41415770532"/>
    <n v="328694.54789569811"/>
    <n v="397720.40295379469"/>
    <n v="8272.0536228624296"/>
    <n v="8392.8160530412806"/>
    <n v="8466.9821904493256"/>
    <n v="8546.1774040411692"/>
    <n v="1985.2928694869831"/>
    <n v="2014.2758527299075"/>
    <n v="2032.075725707838"/>
    <n v="2051.0825769698804"/>
  </r>
  <r>
    <s v="Valmiera"/>
    <x v="8"/>
    <s v="Valmieras novads"/>
    <x v="5"/>
    <n v="19"/>
    <n v="22971"/>
    <n v="22974"/>
    <n v="22977"/>
    <n v="23000"/>
    <n v="416243.04791054904"/>
    <n v="437471.44335398701"/>
    <n v="454095.3582014385"/>
    <n v="549455.38342374063"/>
    <n v="11427.938726039281"/>
    <n v="11594.773434252158"/>
    <n v="11697.234819597101"/>
    <n v="11806.643932446883"/>
    <n v="2742.7052942494274"/>
    <n v="2782.745624220518"/>
    <n v="2807.3363567033043"/>
    <n v="2833.594543787252"/>
  </r>
  <r>
    <s v="Ventspils"/>
    <x v="9"/>
    <s v="Ventspils"/>
    <x v="3"/>
    <n v="58"/>
    <n v="33372"/>
    <n v="32851"/>
    <n v="32329"/>
    <n v="28680"/>
    <n v="501127.82880555547"/>
    <n v="526685.34807463875"/>
    <n v="546699.391301475"/>
    <n v="661506.26347478468"/>
    <n v="13758.447499004709"/>
    <n v="13959.304943989817"/>
    <n v="14082.661362390239"/>
    <n v="14214.382363976156"/>
    <n v="3302.0273997611303"/>
    <n v="3350.2331865575566"/>
    <n v="3379.8387269736577"/>
    <n v="3411.4517673542773"/>
  </r>
  <r>
    <s v="Aglonas novads"/>
    <x v="10"/>
    <s v="Preiļu novads"/>
    <x v="2"/>
    <n v="393"/>
    <n v="3042"/>
    <n v="2970"/>
    <n v="2897"/>
    <n v="2391"/>
    <n v="20003.89150818995"/>
    <n v="21008.52163844333"/>
    <n v="21782.389328454396"/>
    <n v="26157.007071792112"/>
    <n v="549.20616112502444"/>
    <n v="556.81131257116215"/>
    <n v="561.10180010646479"/>
    <n v="562.0592283777429"/>
    <n v="131.80947867000586"/>
    <n v="133.63471501707892"/>
    <n v="134.66443202555155"/>
    <n v="134.8942148106583"/>
  </r>
  <r>
    <s v="Aizkraukles novads"/>
    <x v="11"/>
    <s v="Aizkraukles novads"/>
    <x v="1"/>
    <n v="102"/>
    <n v="8017"/>
    <n v="7873"/>
    <n v="7729"/>
    <n v="6723"/>
    <n v="68418.691922067432"/>
    <n v="71784.120049151752"/>
    <n v="74379.467362873969"/>
    <n v="88735.363034668655"/>
    <n v="1878.4328601427428"/>
    <n v="1902.5712896043524"/>
    <n v="1915.9722287100433"/>
    <n v="1906.7368655823693"/>
    <n v="450.82388643425833"/>
    <n v="456.61710950504454"/>
    <n v="459.83333489041041"/>
    <n v="457.61684773976862"/>
  </r>
  <r>
    <s v="Aizputes novads"/>
    <x v="12"/>
    <s v="Dienvidkurzemes novads"/>
    <x v="4"/>
    <n v="640"/>
    <n v="8083"/>
    <n v="7946"/>
    <n v="7809"/>
    <n v="6850"/>
    <n v="77444.56019057885"/>
    <n v="81467.568075940566"/>
    <n v="84641.621598007841"/>
    <n v="103207.59680201909"/>
    <n v="2126.2377665300733"/>
    <n v="2159.2220667891875"/>
    <n v="2180.3194097046439"/>
    <n v="2217.7148196676185"/>
    <n v="510.29706396721758"/>
    <n v="518.213296029405"/>
    <n v="523.27665832911453"/>
    <n v="532.25155672022845"/>
  </r>
  <r>
    <s v="Aknīstes novads"/>
    <x v="3"/>
    <s v="Jēkabpils novads"/>
    <x v="2"/>
    <n v="285"/>
    <n v="2546"/>
    <n v="2478"/>
    <n v="2410"/>
    <n v="1934"/>
    <n v="21728.076541547172"/>
    <n v="22593.807885405568"/>
    <n v="23192.459094905713"/>
    <n v="25526.43047881142"/>
    <n v="596.54360258493489"/>
    <n v="598.82784905875587"/>
    <n v="597.42438493869895"/>
    <n v="548.50945977038555"/>
    <n v="143.17046462038437"/>
    <n v="143.71868377410141"/>
    <n v="143.38185238528774"/>
    <n v="131.64227034489252"/>
  </r>
  <r>
    <s v="Alojas novads"/>
    <x v="13"/>
    <s v="Limbažu novads"/>
    <x v="5"/>
    <n v="631"/>
    <n v="4520"/>
    <n v="4432"/>
    <n v="4345"/>
    <n v="3731"/>
    <n v="58638.501655615051"/>
    <n v="60616.181628571212"/>
    <n v="61875.937753305872"/>
    <n v="65720.129079877763"/>
    <n v="1609.9180689526627"/>
    <n v="1606.5754762055506"/>
    <n v="1593.8885093428366"/>
    <n v="1412.1877529083438"/>
    <n v="386.38033654863904"/>
    <n v="385.57811428933218"/>
    <n v="382.53324224228083"/>
    <n v="338.92506069800248"/>
  </r>
  <r>
    <s v="Alsungas novads"/>
    <x v="14"/>
    <s v="Kuldīgas novads"/>
    <x v="3"/>
    <n v="191"/>
    <n v="1303"/>
    <n v="1278"/>
    <n v="1254"/>
    <n v="1081"/>
    <n v="12484.258558496133"/>
    <n v="13102.888497489561"/>
    <n v="13592.085220118046"/>
    <n v="16287.213451530313"/>
    <n v="342.75489419629906"/>
    <n v="347.27986425328243"/>
    <n v="350.12428477008882"/>
    <n v="349.97806132272927"/>
    <n v="82.261174607111769"/>
    <n v="83.347167420787784"/>
    <n v="84.029828344821311"/>
    <n v="83.994734717455017"/>
  </r>
  <r>
    <s v="Alūksnes novads"/>
    <x v="15"/>
    <s v="Alūksnes novads"/>
    <x v="5"/>
    <n v="1698"/>
    <n v="13861"/>
    <n v="13430"/>
    <n v="12998"/>
    <n v="9979"/>
    <n v="130893.41369186182"/>
    <n v="136451.99055149566"/>
    <n v="140408.77439595995"/>
    <n v="157135.95206718461"/>
    <n v="3593.6742218795339"/>
    <n v="3616.5330083433641"/>
    <n v="3616.8491379134598"/>
    <n v="3376.5220817074419"/>
    <n v="862.48181325108817"/>
    <n v="867.96792200240748"/>
    <n v="868.04379309923036"/>
    <n v="810.36529960978601"/>
  </r>
  <r>
    <s v="Amatas novads"/>
    <x v="16"/>
    <s v="Cēsu novads"/>
    <x v="5"/>
    <n v="745"/>
    <n v="5042"/>
    <n v="4900"/>
    <n v="4758"/>
    <n v="3764"/>
    <n v="47613.0576317991"/>
    <n v="49785.164088036385"/>
    <n v="51397.518739496656"/>
    <n v="59270.440282681928"/>
    <n v="1307.2148781990197"/>
    <n v="1319.5094371468713"/>
    <n v="1323.9704722412866"/>
    <n v="1273.5974662337721"/>
    <n v="313.73157076776471"/>
    <n v="316.68226491524911"/>
    <n v="317.75291333790881"/>
    <n v="305.66339189610534"/>
  </r>
  <r>
    <s v="Apes novads"/>
    <x v="17"/>
    <s v="Smiltenes novads"/>
    <x v="5"/>
    <n v="545"/>
    <n v="3205"/>
    <n v="3124"/>
    <n v="3043"/>
    <n v="2476"/>
    <n v="30265.737744925846"/>
    <n v="31740.582165515443"/>
    <n v="32871.511039152654"/>
    <n v="38988.73808180671"/>
    <n v="830.94480060052717"/>
    <n v="841.25458809118902"/>
    <n v="846.75118684956612"/>
    <n v="837.78621848959096"/>
    <n v="199.42675214412651"/>
    <n v="201.90110114188539"/>
    <n v="203.22028484389588"/>
    <n v="201.06869243750185"/>
  </r>
  <r>
    <s v="Auces novads"/>
    <x v="18"/>
    <s v="Dobeles novads"/>
    <x v="1"/>
    <n v="517"/>
    <n v="6025"/>
    <n v="5878"/>
    <n v="5732"/>
    <n v="4706"/>
    <n v="51418.562907628322"/>
    <n v="53594.189971918451"/>
    <n v="55161.48362323633"/>
    <n v="62113.434246787256"/>
    <n v="1411.694896140704"/>
    <n v="1420.4641229892522"/>
    <n v="1420.9280391985985"/>
    <n v="1334.6874445084977"/>
    <n v="338.80677507376896"/>
    <n v="340.9113895174205"/>
    <n v="341.02272940766363"/>
    <n v="320.32498668203948"/>
  </r>
  <r>
    <s v="Ādažu novads"/>
    <x v="19"/>
    <s v="Ādažu novads"/>
    <x v="1"/>
    <n v="163"/>
    <n v="11824"/>
    <n v="12051"/>
    <n v="12277"/>
    <n v="13864"/>
    <n v="153394.16893274165"/>
    <n v="164820.75920711004"/>
    <n v="174833.34586820166"/>
    <n v="244209.02427323113"/>
    <n v="4211.4316918797085"/>
    <n v="4368.4208176338198"/>
    <n v="4503.606266789875"/>
    <n v="5247.5398033560114"/>
    <n v="1010.7436060511301"/>
    <n v="1048.4209962321167"/>
    <n v="1080.86550402957"/>
    <n v="1259.4095528054427"/>
  </r>
  <r>
    <s v="Babītes novads"/>
    <x v="20"/>
    <s v="Mārupes novads"/>
    <x v="1"/>
    <n v="243"/>
    <n v="11247"/>
    <n v="11352"/>
    <n v="11457"/>
    <n v="12192"/>
    <n v="145908.67878776602"/>
    <n v="155260.58074177356"/>
    <n v="163155.95370302079"/>
    <n v="214757.38776249523"/>
    <n v="4005.9178144934945"/>
    <n v="4115.0371854434588"/>
    <n v="4202.8033720462317"/>
    <n v="4614.6858974694524"/>
    <n v="961.42027547843873"/>
    <n v="987.60892450643018"/>
    <n v="1008.6728092910956"/>
    <n v="1107.5246153926687"/>
  </r>
  <r>
    <s v="Baldones novads"/>
    <x v="21"/>
    <s v="Ķekavas novads"/>
    <x v="1"/>
    <n v="179"/>
    <n v="5446"/>
    <n v="5471"/>
    <n v="5496"/>
    <n v="5673"/>
    <n v="70651.610623114946"/>
    <n v="74826.518431839606"/>
    <n v="78267.008951017051"/>
    <n v="99927.711677873638"/>
    <n v="1939.7375671496018"/>
    <n v="1983.2072270578899"/>
    <n v="2016.1130603793395"/>
    <n v="2147.2369665636652"/>
    <n v="465.53701611590441"/>
    <n v="475.96973449389355"/>
    <n v="483.8671344910415"/>
    <n v="515.33687197527968"/>
  </r>
  <r>
    <s v="Baltinavas novads"/>
    <x v="22"/>
    <s v="Balvu novads"/>
    <x v="5"/>
    <n v="186"/>
    <n v="937"/>
    <n v="915"/>
    <n v="893"/>
    <n v="738"/>
    <n v="6161.6194422005201"/>
    <n v="6472.322322954763"/>
    <n v="6714.4196307593284"/>
    <n v="8073.5555077300614"/>
    <n v="169.16705225974616"/>
    <n v="171.54287912545905"/>
    <n v="172.95958146188229"/>
    <n v="173.48377688949154"/>
    <n v="40.600092542339077"/>
    <n v="41.170290990110175"/>
    <n v="41.510299550851748"/>
    <n v="41.636106453477964"/>
  </r>
  <r>
    <s v="Balvu novads"/>
    <x v="22"/>
    <s v="Balvu novads"/>
    <x v="5"/>
    <n v="1045"/>
    <n v="11576"/>
    <n v="11292"/>
    <n v="11008"/>
    <n v="9018"/>
    <n v="76122.632511113363"/>
    <n v="79874.823683940092"/>
    <n v="82768.568079953737"/>
    <n v="98654.909984701488"/>
    <n v="2089.9442870424991"/>
    <n v="2117.0078591089436"/>
    <n v="2132.0706301594628"/>
    <n v="2119.8871273569575"/>
    <n v="501.58662889019979"/>
    <n v="508.08188618614651"/>
    <n v="511.69695123827108"/>
    <n v="508.7729105656698"/>
  </r>
  <r>
    <s v="Bauskas novads"/>
    <x v="23"/>
    <s v="Bauskas novads"/>
    <x v="1"/>
    <n v="786"/>
    <n v="22259"/>
    <n v="21899"/>
    <n v="21539"/>
    <n v="19017"/>
    <n v="189962.78701425708"/>
    <n v="199669.81391545461"/>
    <n v="207278.99437559093"/>
    <n v="251001.10052510691"/>
    <n v="5215.4218577918564"/>
    <n v="5292.0625772952762"/>
    <n v="5339.3874801637494"/>
    <n v="5393.4872784143854"/>
    <n v="1251.7012458700453"/>
    <n v="1270.0950185508664"/>
    <n v="1281.4529952392998"/>
    <n v="1294.4369468194525"/>
  </r>
  <r>
    <s v="Beverīnas novads"/>
    <x v="8"/>
    <s v="Valmieras novads"/>
    <x v="5"/>
    <n v="301"/>
    <n v="2948"/>
    <n v="2895"/>
    <n v="2842"/>
    <n v="2469"/>
    <n v="27838.812752587019"/>
    <n v="29413.887762217419"/>
    <n v="30700.24133199863"/>
    <n v="38878.511439410649"/>
    <n v="764.31365746344909"/>
    <n v="779.58771847759044"/>
    <n v="790.82053007770833"/>
    <n v="835.41767909967689"/>
    <n v="183.43527779122778"/>
    <n v="187.10105243462172"/>
    <n v="189.79692721865001"/>
    <n v="200.50024298392245"/>
  </r>
  <r>
    <s v="Brocēnu novads"/>
    <x v="24"/>
    <s v="Saldus novads"/>
    <x v="4"/>
    <n v="496"/>
    <n v="5672"/>
    <n v="5556"/>
    <n v="5440"/>
    <n v="4630"/>
    <n v="54344.370332916398"/>
    <n v="56963.731214438187"/>
    <n v="58964.069854419598"/>
    <n v="69759.295356693197"/>
    <n v="1492.0228395099068"/>
    <n v="1509.7706774579319"/>
    <n v="1518.8804698160154"/>
    <n v="1498.9809657023463"/>
    <n v="358.08548148237759"/>
    <n v="362.34496258990367"/>
    <n v="364.53131275584371"/>
    <n v="359.75543176856308"/>
  </r>
  <r>
    <s v="Burtnieku novads"/>
    <x v="8"/>
    <s v="Valmieras novads"/>
    <x v="5"/>
    <n v="702"/>
    <n v="7410"/>
    <n v="7314"/>
    <n v="7218"/>
    <n v="6545"/>
    <n v="69974.763397784875"/>
    <n v="74311.977579571045"/>
    <n v="77971.267394217488"/>
    <n v="103061.910640317"/>
    <n v="1921.1547495943546"/>
    <n v="1969.569800671881"/>
    <n v="2008.4949282550665"/>
    <n v="2214.5843295696172"/>
    <n v="461.07713990264506"/>
    <n v="472.69675216125142"/>
    <n v="482.03878278121601"/>
    <n v="531.50023909670813"/>
  </r>
  <r>
    <s v="Carnikavas novads"/>
    <x v="19"/>
    <s v="Ādažu novads"/>
    <x v="1"/>
    <n v="81"/>
    <n v="9310"/>
    <n v="9290"/>
    <n v="9269"/>
    <n v="9126"/>
    <n v="120779.74566676462"/>
    <n v="127058.73811584535"/>
    <n v="131997.25363300164"/>
    <n v="160750.97774938744"/>
    <n v="3316.0038101657715"/>
    <n v="3367.5735952052269"/>
    <n v="3400.1732089985621"/>
    <n v="3454.2014025841722"/>
    <n v="795.84091443978514"/>
    <n v="808.21766284925445"/>
    <n v="816.04157015965495"/>
    <n v="829.00833662020136"/>
  </r>
  <r>
    <s v="Cesvaines novads"/>
    <x v="25"/>
    <s v="Madonas novads"/>
    <x v="5"/>
    <n v="190"/>
    <n v="2253"/>
    <n v="2198"/>
    <n v="2144"/>
    <n v="1762"/>
    <n v="21275.727656573457"/>
    <n v="22332.202176633466"/>
    <n v="23160.210209642879"/>
    <n v="27745.620557408489"/>
    <n v="584.1243793301054"/>
    <n v="591.89423323445374"/>
    <n v="596.59367223314803"/>
    <n v="596.19520071835984"/>
    <n v="140.18985103922529"/>
    <n v="142.05461597626891"/>
    <n v="143.18248133595552"/>
    <n v="143.08684817240635"/>
  </r>
  <r>
    <s v="Cēsu novads"/>
    <x v="16"/>
    <s v="Cēsu novads"/>
    <x v="5"/>
    <n v="173"/>
    <n v="16143"/>
    <n v="15785"/>
    <n v="15426"/>
    <n v="12918"/>
    <n v="152442.99669776534"/>
    <n v="160379.35002646007"/>
    <n v="166636.84827143239"/>
    <n v="203415.39521033078"/>
    <n v="4185.317290513045"/>
    <n v="4250.705401094564"/>
    <n v="4292.4692107595811"/>
    <n v="4370.9702627013467"/>
    <n v="1004.4761497231308"/>
    <n v="1020.1692962626954"/>
    <n v="1030.1926105822995"/>
    <n v="1049.0328630483232"/>
  </r>
  <r>
    <s v="Ciblas novads"/>
    <x v="26"/>
    <s v="Ludzas novads"/>
    <x v="2"/>
    <n v="510"/>
    <n v="2362"/>
    <n v="2316"/>
    <n v="2270"/>
    <n v="1950"/>
    <n v="15532.278679271749"/>
    <n v="16382.402732200253"/>
    <n v="17068.009587708482"/>
    <n v="21332.565365953415"/>
    <n v="426.43818296426946"/>
    <n v="434.20033667165376"/>
    <n v="439.66209397365373"/>
    <n v="458.3920934071931"/>
    <n v="102.34516391142468"/>
    <n v="104.2080808011969"/>
    <n v="105.5189025536769"/>
    <n v="110.01410241772635"/>
  </r>
  <r>
    <s v="Dagdas novads"/>
    <x v="27"/>
    <s v="Krāslavas novads"/>
    <x v="2"/>
    <n v="950"/>
    <n v="6475"/>
    <n v="6316"/>
    <n v="6156"/>
    <n v="5041"/>
    <n v="42578.960393007867"/>
    <n v="44676.707969160969"/>
    <n v="46286.637454596217"/>
    <n v="55147.416415267267"/>
    <n v="1169.0039096924829"/>
    <n v="1184.1145623567206"/>
    <n v="1192.3171147585076"/>
    <n v="1185.0023296746976"/>
    <n v="280.56093832619587"/>
    <n v="284.18749496561293"/>
    <n v="286.15610754204187"/>
    <n v="284.40055912192742"/>
  </r>
  <r>
    <s v="Daugavpils novads"/>
    <x v="28"/>
    <s v="Augšdaugavas novads"/>
    <x v="2"/>
    <n v="1876"/>
    <n v="19553"/>
    <n v="18967"/>
    <n v="18381"/>
    <n v="14277"/>
    <n v="128578.59653505526"/>
    <n v="134164.52185735846"/>
    <n v="138205.76397870909"/>
    <n v="156187.19781011125"/>
    <n v="3530.1209955547674"/>
    <n v="3555.9057796421657"/>
    <n v="3560.1008587355641"/>
    <n v="3356.1353423458954"/>
    <n v="847.22903893314424"/>
    <n v="853.41738711411983"/>
    <n v="854.42420609653539"/>
    <n v="805.47248216301489"/>
  </r>
  <r>
    <s v="Dobeles novads"/>
    <x v="18"/>
    <s v="Dobeles novads"/>
    <x v="1"/>
    <n v="888"/>
    <n v="19219"/>
    <n v="18842"/>
    <n v="18464"/>
    <n v="15822"/>
    <n v="164018.81502434998"/>
    <n v="171796.82331590465"/>
    <n v="177686.95631881291"/>
    <n v="208831.01501331659"/>
    <n v="4503.1309890337243"/>
    <n v="4553.3149039407099"/>
    <n v="4577.1136280116752"/>
    <n v="4487.3405752259769"/>
    <n v="1080.7514373680938"/>
    <n v="1092.7955769457703"/>
    <n v="1098.5072707228021"/>
    <n v="1076.9617380542345"/>
  </r>
  <r>
    <s v="Dundagas novads"/>
    <x v="29"/>
    <s v="Talsu novads"/>
    <x v="3"/>
    <n v="676"/>
    <n v="3487"/>
    <n v="3431"/>
    <n v="3374"/>
    <n v="2979"/>
    <n v="33409.523862990034"/>
    <n v="35176.846975654684"/>
    <n v="36570.730089855097"/>
    <n v="44884.00450703867"/>
    <n v="917.25734156753254"/>
    <n v="932.3295886173803"/>
    <n v="942.04093844838894"/>
    <n v="964.46313106420951"/>
    <n v="220.14176197620782"/>
    <n v="223.75910126817129"/>
    <n v="226.08982522761335"/>
    <n v="231.47115145541028"/>
  </r>
  <r>
    <s v="Durbes novads"/>
    <x v="12"/>
    <s v="Dienvidkurzemes novads"/>
    <x v="4"/>
    <n v="320"/>
    <n v="2620"/>
    <n v="2563"/>
    <n v="2506"/>
    <n v="2107"/>
    <n v="25102.653433046715"/>
    <n v="26277.545554824526"/>
    <n v="27162.49247337785"/>
    <n v="31745.752768153903"/>
    <n v="689.19249638856763"/>
    <n v="696.46188738745138"/>
    <n v="699.69015760274522"/>
    <n v="682.14965329046311"/>
    <n v="165.40619913325625"/>
    <n v="167.15085297298833"/>
    <n v="167.92563782465888"/>
    <n v="163.71591678971114"/>
  </r>
  <r>
    <s v="Engures novads"/>
    <x v="30"/>
    <s v="Tukuma novads"/>
    <x v="3"/>
    <n v="396"/>
    <n v="7147"/>
    <n v="7052"/>
    <n v="6956"/>
    <n v="6288"/>
    <n v="92718.887462982471"/>
    <n v="96449.754703222963"/>
    <n v="99058.463293900029"/>
    <n v="110760.6999877436"/>
    <n v="2545.5939023904161"/>
    <n v="2556.310978836088"/>
    <n v="2551.6889461424098"/>
    <n v="2380.0151675925131"/>
    <n v="610.94253657369984"/>
    <n v="613.51463492066114"/>
    <n v="612.40534707417839"/>
    <n v="571.20364022220315"/>
  </r>
  <r>
    <s v="Ērgļu novads"/>
    <x v="25"/>
    <s v="Madonas novads"/>
    <x v="5"/>
    <n v="379"/>
    <n v="2600"/>
    <n v="2533"/>
    <n v="2466"/>
    <n v="1998"/>
    <n v="24552.54856062627"/>
    <n v="25735.881762244117"/>
    <n v="26638.562675829919"/>
    <n v="31461.833072475685"/>
    <n v="674.08938582258054"/>
    <n v="682.10559271286229"/>
    <n v="686.19402785771604"/>
    <n v="676.0488144354614"/>
    <n v="161.78145259741933"/>
    <n v="163.70534225108693"/>
    <n v="164.68656668585186"/>
    <n v="162.25171546451074"/>
  </r>
  <r>
    <s v="Garkalnes novads"/>
    <x v="31"/>
    <s v="Ropažu novads"/>
    <x v="1"/>
    <n v="152"/>
    <n v="9425"/>
    <n v="9469"/>
    <n v="9512"/>
    <n v="9817"/>
    <n v="122271.65444782563"/>
    <n v="129506.90971140361"/>
    <n v="135457.74911609793"/>
    <n v="172922.67680974538"/>
    <n v="3356.9641150174434"/>
    <n v="3432.4601047360916"/>
    <n v="3489.3135790262513"/>
    <n v="3715.7456902442268"/>
    <n v="805.67138760418641"/>
    <n v="823.79042513666207"/>
    <n v="837.43525896630035"/>
    <n v="891.77896565861454"/>
  </r>
  <r>
    <s v="Grobiņas novads"/>
    <x v="12"/>
    <s v="Dienvidkurzemes novads"/>
    <x v="4"/>
    <n v="490"/>
    <n v="8329"/>
    <n v="8186"/>
    <n v="8043"/>
    <n v="7041"/>
    <n v="79801.526886964159"/>
    <n v="83928.204413497297"/>
    <n v="87177.943720422205"/>
    <n v="106085.35607051334"/>
    <n v="2190.9482070306794"/>
    <n v="2224.438942705297"/>
    <n v="2245.65360638423"/>
    <n v="2279.5518314276933"/>
    <n v="525.82756968736305"/>
    <n v="533.86534624927128"/>
    <n v="538.95686553221526"/>
    <n v="547.09243954264639"/>
  </r>
  <r>
    <s v="Gulbenes novads"/>
    <x v="32"/>
    <s v="Gulbenes novads"/>
    <x v="5"/>
    <n v="1872"/>
    <n v="19619"/>
    <n v="19190"/>
    <n v="18761"/>
    <n v="15759"/>
    <n v="185267.86546574108"/>
    <n v="194974.95894886088"/>
    <n v="202662.64167122671"/>
    <n v="248151.66535993211"/>
    <n v="5086.5229463281566"/>
    <n v="5167.629816091523"/>
    <n v="5220.4728940140349"/>
    <n v="5332.2588922364548"/>
    <n v="1220.7655071187576"/>
    <n v="1240.2311558619656"/>
    <n v="1252.9134945633684"/>
    <n v="1279.7421341367492"/>
  </r>
  <r>
    <s v="Iecavas novads"/>
    <x v="23"/>
    <s v="Bauskas novads"/>
    <x v="1"/>
    <n v="312"/>
    <n v="8411"/>
    <n v="8295"/>
    <n v="8179"/>
    <n v="7365"/>
    <n v="71781.167239180388"/>
    <n v="75631.814531654236"/>
    <n v="78710.009517524421"/>
    <n v="97208.976461450933"/>
    <n v="1970.7495056331059"/>
    <n v="2004.5508506627846"/>
    <n v="2027.5244997566886"/>
    <n v="2088.8170481948755"/>
    <n v="472.97988135194544"/>
    <n v="481.09220415906827"/>
    <n v="486.60587994160528"/>
    <n v="501.31609156677013"/>
  </r>
  <r>
    <s v="Ikšķiles novads"/>
    <x v="33"/>
    <s v="Ogres novads"/>
    <x v="1"/>
    <n v="131"/>
    <n v="9967"/>
    <n v="10074"/>
    <n v="10181"/>
    <n v="10930"/>
    <n v="129303.08539856531"/>
    <n v="137781.4561656648"/>
    <n v="144984.79223622716"/>
    <n v="192527.7434583393"/>
    <n v="3550.0118126661919"/>
    <n v="3651.769257061082"/>
    <n v="3734.7247212012471"/>
    <n v="4137.0174589354592"/>
    <n v="852.00283503988601"/>
    <n v="876.42462169465978"/>
    <n v="896.33393308829932"/>
    <n v="992.88419014451017"/>
  </r>
  <r>
    <s v="Ilūkstes novads"/>
    <x v="28"/>
    <s v="Augšdaugavas novads"/>
    <x v="2"/>
    <n v="647"/>
    <n v="6374"/>
    <n v="6227"/>
    <n v="6081"/>
    <n v="5054"/>
    <n v="41914.794369889132"/>
    <n v="44047.159677638592"/>
    <n v="45722.716432975896"/>
    <n v="55289.633517706956"/>
    <n v="1150.7692541127237"/>
    <n v="1167.428970835228"/>
    <n v="1177.7908341206116"/>
    <n v="1188.0582769640789"/>
    <n v="276.18462098705373"/>
    <n v="280.18295300045475"/>
    <n v="282.66980018894679"/>
    <n v="285.13398647137893"/>
  </r>
  <r>
    <s v="Inčukalna novads"/>
    <x v="34"/>
    <s v="Siguldas novads"/>
    <x v="1"/>
    <n v="112"/>
    <n v="7622"/>
    <n v="7548"/>
    <n v="7474"/>
    <n v="6957"/>
    <n v="98881.119384756166"/>
    <n v="103233.51510208833"/>
    <n v="106435.1573689777"/>
    <n v="122544.87751506557"/>
    <n v="2714.7777702560161"/>
    <n v="2736.1082342959148"/>
    <n v="2741.70833574876"/>
    <n v="2633.2324301751137"/>
    <n v="651.54666486144379"/>
    <n v="656.66597623101961"/>
    <n v="658.01000057970236"/>
    <n v="631.97578324202732"/>
  </r>
  <r>
    <s v="Jaunjelgavas novads"/>
    <x v="11"/>
    <s v="Aizkraukles novads"/>
    <x v="1"/>
    <n v="684"/>
    <n v="5039"/>
    <n v="4966"/>
    <n v="4893"/>
    <n v="4382"/>
    <n v="43003.840413533464"/>
    <n v="45278.793365183235"/>
    <n v="47087.428361565835"/>
    <n v="57837.031208971894"/>
    <n v="1180.6689762079682"/>
    <n v="1200.072275393778"/>
    <n v="1212.9450271805204"/>
    <n v="1242.7965112274196"/>
    <n v="283.36055428991239"/>
    <n v="288.01734609450671"/>
    <n v="291.10680652332491"/>
    <n v="298.27116269458071"/>
  </r>
  <r>
    <s v="Jaunpiebalgas novads"/>
    <x v="16"/>
    <s v="Cēsu novads"/>
    <x v="5"/>
    <n v="251"/>
    <n v="1992"/>
    <n v="1942"/>
    <n v="1893"/>
    <n v="1545"/>
    <n v="18811.029512602898"/>
    <n v="19731.18135897279"/>
    <n v="20448.823659913232"/>
    <n v="24328.5946431306"/>
    <n v="516.45617559945401"/>
    <n v="522.95659733453556"/>
    <n v="526.74991676182333"/>
    <n v="522.77047963102495"/>
    <n v="123.94948214386898"/>
    <n v="125.50958336028854"/>
    <n v="126.41998002283761"/>
    <n v="125.46491511144599"/>
  </r>
  <r>
    <s v="Jaunpils novads"/>
    <x v="30"/>
    <s v="Tukuma novads"/>
    <x v="3"/>
    <n v="209"/>
    <n v="2188"/>
    <n v="2158"/>
    <n v="2128"/>
    <n v="1918"/>
    <n v="28385.186199664982"/>
    <n v="29514.828509579576"/>
    <n v="30304.256740859586"/>
    <n v="33784.831834683879"/>
    <n v="779.31432187354551"/>
    <n v="782.26305903690843"/>
    <n v="780.62019513959876"/>
    <n v="725.96518629809793"/>
    <n v="187.03543724965093"/>
    <n v="187.74313416885801"/>
    <n v="187.3488468335037"/>
    <n v="174.23164471154351"/>
  </r>
  <r>
    <s v="Jelgavas novads"/>
    <x v="35"/>
    <s v="Jelgavas novads"/>
    <x v="1"/>
    <n v="1317"/>
    <n v="22021"/>
    <n v="21627"/>
    <n v="21232"/>
    <n v="18471"/>
    <n v="187931.64710188934"/>
    <n v="197189.78334853359"/>
    <n v="204324.60228341832"/>
    <n v="243794.56947989957"/>
    <n v="5159.6569805667132"/>
    <n v="5226.3316753808367"/>
    <n v="5263.2840419163722"/>
    <n v="5238.6340389962734"/>
    <n v="1238.3176753360112"/>
    <n v="1254.3196020914008"/>
    <n v="1263.1881700599292"/>
    <n v="1257.2721693591054"/>
  </r>
  <r>
    <s v="Jēkabpils novads"/>
    <x v="3"/>
    <s v="Jēkabpils novads"/>
    <x v="2"/>
    <n v="905"/>
    <n v="4164"/>
    <n v="4079"/>
    <n v="3994"/>
    <n v="3397"/>
    <n v="35536.414265122708"/>
    <n v="37191.340744378256"/>
    <n v="38435.967479275278"/>
    <n v="44836.238023020887"/>
    <n v="975.651045233177"/>
    <n v="985.72187098896904"/>
    <n v="990.0883790228894"/>
    <n v="963.43672949327811"/>
    <n v="234.15625085596247"/>
    <n v="236.57324903735255"/>
    <n v="237.62121096549345"/>
    <n v="231.22481507838674"/>
  </r>
  <r>
    <s v="Kandavas novads"/>
    <x v="30"/>
    <s v="Tukuma novads"/>
    <x v="3"/>
    <n v="649"/>
    <n v="7462"/>
    <n v="7332"/>
    <n v="7203"/>
    <n v="6295"/>
    <n v="96805.420211106088"/>
    <n v="100279.29686387278"/>
    <n v="102575.92166560695"/>
    <n v="110884.00229370961"/>
    <n v="2657.7895200276039"/>
    <n v="2657.8094294988937"/>
    <n v="2642.2966473639704"/>
    <n v="2382.6646755717034"/>
    <n v="637.86948480662488"/>
    <n v="637.87426307973453"/>
    <n v="634.1511953673529"/>
    <n v="571.83952213720886"/>
  </r>
  <r>
    <s v="Kārsavas novads"/>
    <x v="26"/>
    <s v="Ludzas novads"/>
    <x v="2"/>
    <n v="628"/>
    <n v="5127"/>
    <n v="5004"/>
    <n v="4880"/>
    <n v="4017"/>
    <n v="33714.645549799432"/>
    <n v="35396.175851437853"/>
    <n v="36692.461140095766"/>
    <n v="43945.084653864033"/>
    <n v="925.63444710322165"/>
    <n v="938.14269633201877"/>
    <n v="945.17666017243619"/>
    <n v="944.2877124188177"/>
    <n v="222.1522673047732"/>
    <n v="225.15424711968453"/>
    <n v="226.84239844138469"/>
    <n v="226.62905098051627"/>
  </r>
  <r>
    <s v="Kocēnu novads"/>
    <x v="8"/>
    <s v="Valmieras novads"/>
    <x v="5"/>
    <n v="499"/>
    <n v="5776"/>
    <n v="5687"/>
    <n v="5598"/>
    <n v="4975"/>
    <n v="54544.430956222051"/>
    <n v="57781.271054829172"/>
    <n v="60471.481694767186"/>
    <n v="78339.649417200475"/>
    <n v="1497.5154971197019"/>
    <n v="1531.4388100110732"/>
    <n v="1557.7105303923336"/>
    <n v="1683.3547806888994"/>
    <n v="359.40371930872845"/>
    <n v="367.5453144026576"/>
    <n v="373.85052729416009"/>
    <n v="404.00514736533586"/>
  </r>
  <r>
    <s v="Kokneses novads"/>
    <x v="11"/>
    <s v="Aizkraukles novads"/>
    <x v="1"/>
    <n v="361"/>
    <n v="4851"/>
    <n v="4789"/>
    <n v="4727"/>
    <n v="4292"/>
    <n v="41399.410566789207"/>
    <n v="43664.949944797125"/>
    <n v="45489.939477850334"/>
    <n v="56649.141476245408"/>
    <n v="1136.6194093242416"/>
    <n v="1157.298857603867"/>
    <n v="1171.7946338610911"/>
    <n v="1217.2712519826757"/>
    <n v="272.78865823781797"/>
    <n v="277.75172582492809"/>
    <n v="281.2307121266619"/>
    <n v="292.14510047584218"/>
  </r>
  <r>
    <s v="Krāslavas novads"/>
    <x v="27"/>
    <s v="Krāslavas novads"/>
    <x v="2"/>
    <n v="1079"/>
    <n v="13533"/>
    <n v="13158"/>
    <n v="12782"/>
    <n v="10155"/>
    <n v="88991.671196691183"/>
    <n v="93074.117076982264"/>
    <n v="96107.17997801314"/>
    <n v="111093.43655961895"/>
    <n v="2443.2633065433779"/>
    <n v="2466.8428453910274"/>
    <n v="2475.6655881811639"/>
    <n v="2387.1649787436136"/>
    <n v="586.38319357041064"/>
    <n v="592.04228289384662"/>
    <n v="594.15974116347934"/>
    <n v="572.91959489846727"/>
  </r>
  <r>
    <s v="Krimuldas novads"/>
    <x v="34"/>
    <s v="Siguldas novads"/>
    <x v="1"/>
    <n v="341"/>
    <n v="4833"/>
    <n v="4764"/>
    <n v="4694"/>
    <n v="4209"/>
    <n v="62699.088164068038"/>
    <n v="65156.924476198838"/>
    <n v="66845.949784584067"/>
    <n v="74139.915115841737"/>
    <n v="1721.4013334619951"/>
    <n v="1726.9236391343056"/>
    <n v="1721.9131560081187"/>
    <n v="1593.111297773042"/>
    <n v="413.13632003087884"/>
    <n v="414.46167339223337"/>
    <n v="413.2591574419485"/>
    <n v="382.34671146553012"/>
  </r>
  <r>
    <s v="Krustpils novads"/>
    <x v="3"/>
    <s v="Jēkabpils novads"/>
    <x v="2"/>
    <n v="811"/>
    <n v="5461"/>
    <n v="5389"/>
    <n v="5317"/>
    <n v="4811"/>
    <n v="46605.273367395566"/>
    <n v="49135.605607122925"/>
    <n v="51167.761413947585"/>
    <n v="63499.30560163482"/>
    <n v="1279.5461954895245"/>
    <n v="1302.2934941798367"/>
    <n v="1318.0520559000258"/>
    <n v="1364.4669136273656"/>
    <n v="307.09108691748588"/>
    <n v="312.55043860316084"/>
    <n v="316.33249341600623"/>
    <n v="327.47205927056774"/>
  </r>
  <r>
    <s v="Kuldīgas novads"/>
    <x v="14"/>
    <s v="Kuldīgas novads"/>
    <x v="3"/>
    <n v="1757"/>
    <n v="21907"/>
    <n v="21570"/>
    <n v="21234"/>
    <n v="18878"/>
    <n v="209894.59112891389"/>
    <n v="221149.69083791066"/>
    <n v="230154.97413396061"/>
    <n v="284431.09670489293"/>
    <n v="5762.6488619787606"/>
    <n v="5861.3667229603298"/>
    <n v="5928.6595397193505"/>
    <n v="6111.8277906109934"/>
    <n v="1383.0357268749026"/>
    <n v="1406.7280135104791"/>
    <n v="1422.878289532644"/>
    <n v="1466.8386697466385"/>
  </r>
  <r>
    <s v="Ķeguma novads"/>
    <x v="33"/>
    <s v="Ogres novads"/>
    <x v="1"/>
    <n v="492"/>
    <n v="5313"/>
    <n v="5254"/>
    <n v="5196"/>
    <n v="4786"/>
    <n v="68926.18568501831"/>
    <n v="71858.623257336003"/>
    <n v="73994.792305219176"/>
    <n v="84303.548050467696"/>
    <n v="1892.3660841472338"/>
    <n v="1904.5459277942155"/>
    <n v="1906.0632208389825"/>
    <n v="1811.5064554862861"/>
    <n v="454.16786019533612"/>
    <n v="457.09102267061172"/>
    <n v="457.45517300135577"/>
    <n v="434.76154931670868"/>
  </r>
  <r>
    <s v="Ķekavas novads"/>
    <x v="21"/>
    <s v="Ķekavas novads"/>
    <x v="1"/>
    <n v="275"/>
    <n v="24631"/>
    <n v="24660"/>
    <n v="24688"/>
    <n v="24889"/>
    <n v="319540.91466359608"/>
    <n v="337273.24886294361"/>
    <n v="351574.9485048597"/>
    <n v="438410.15616968041"/>
    <n v="8772.9849461002286"/>
    <n v="8939.1135476599447"/>
    <n v="9056.3681285744424"/>
    <n v="9420.5148705804786"/>
    <n v="2105.5163870640549"/>
    <n v="2145.3872514383866"/>
    <n v="2173.5283508578664"/>
    <n v="2260.9235689393149"/>
  </r>
  <r>
    <s v="Lielvārdes novads"/>
    <x v="33"/>
    <s v="Ogres novads"/>
    <x v="1"/>
    <n v="225"/>
    <n v="9547"/>
    <n v="9451"/>
    <n v="9356"/>
    <n v="8686"/>
    <n v="123854.37506773382"/>
    <n v="129260.72485821898"/>
    <n v="133236.19646028301"/>
    <n v="153000.54708866746"/>
    <n v="3400.4176558166087"/>
    <n v="3425.9352043363397"/>
    <n v="3432.0876624652656"/>
    <n v="3287.6609010350776"/>
    <n v="816.10023739598614"/>
    <n v="822.22444904072165"/>
    <n v="823.70103899166372"/>
    <n v="789.03861624841863"/>
  </r>
  <r>
    <s v="Limbažu novads"/>
    <x v="13"/>
    <s v="Limbažu novads"/>
    <x v="5"/>
    <n v="1170"/>
    <n v="16744"/>
    <n v="16441"/>
    <n v="16138"/>
    <n v="14017"/>
    <n v="217221.91852248195"/>
    <n v="224862.50951158378"/>
    <n v="229816.77409962029"/>
    <n v="246904.06038934513"/>
    <n v="5963.8203864034031"/>
    <n v="5959.7715262399497"/>
    <n v="5919.9477016742685"/>
    <n v="5305.4504777583106"/>
    <n v="1431.3168927368167"/>
    <n v="1430.3451662975881"/>
    <n v="1420.7874484018243"/>
    <n v="1273.3081146619945"/>
  </r>
  <r>
    <s v="Līgatnes novads"/>
    <x v="16"/>
    <s v="Cēsu novads"/>
    <x v="5"/>
    <n v="168"/>
    <n v="3258"/>
    <n v="3171"/>
    <n v="3085"/>
    <n v="2478"/>
    <n v="30766.232004046302"/>
    <n v="32218.113331257835"/>
    <n v="33325.209186916174"/>
    <n v="39020.231408205582"/>
    <n v="844.68585346537202"/>
    <n v="853.91110718218965"/>
    <n v="858.43818975711827"/>
    <n v="838.4629440295663"/>
    <n v="202.72460483168931"/>
    <n v="204.93866572372551"/>
    <n v="206.02516554170839"/>
    <n v="201.23110656709591"/>
  </r>
  <r>
    <s v="Līvānu novads"/>
    <x v="36"/>
    <s v="Līvānu novads"/>
    <x v="2"/>
    <n v="622"/>
    <n v="10636"/>
    <n v="10414"/>
    <n v="10192"/>
    <n v="8637"/>
    <n v="69941.285365255855"/>
    <n v="73664.223684427212"/>
    <n v="76633.107364724608"/>
    <n v="94486.854905507513"/>
    <n v="1920.235611349691"/>
    <n v="1952.4016865710717"/>
    <n v="1974.0246968191539"/>
    <n v="2030.3243644912445"/>
    <n v="460.85654672392582"/>
    <n v="468.57640477705718"/>
    <n v="473.76592723659689"/>
    <n v="487.27784747789872"/>
  </r>
  <r>
    <s v="Lubānas novads"/>
    <x v="25"/>
    <s v="Madonas novads"/>
    <x v="5"/>
    <n v="347"/>
    <n v="2163"/>
    <n v="2123"/>
    <n v="2083"/>
    <n v="1805"/>
    <n v="20425.831744859472"/>
    <n v="21570.184358959439"/>
    <n v="22501.267661700615"/>
    <n v="28422.72707498429"/>
    <n v="560.79051597470834"/>
    <n v="571.69766021689964"/>
    <n v="579.61969181979816"/>
    <n v="610.74479982783168"/>
    <n v="134.58972383393001"/>
    <n v="137.20743845205592"/>
    <n v="139.10872603675156"/>
    <n v="146.57875195867962"/>
  </r>
  <r>
    <s v="Ludzas novads"/>
    <x v="26"/>
    <s v="Ludzas novads"/>
    <x v="2"/>
    <n v="965"/>
    <n v="11739"/>
    <n v="11499"/>
    <n v="11259"/>
    <n v="9579"/>
    <n v="77194.504409809932"/>
    <n v="81339.053979952805"/>
    <n v="84655.823765643087"/>
    <n v="104792.12494382962"/>
    <n v="2119.3724935722094"/>
    <n v="2155.8159202881461"/>
    <n v="2180.6852493609549"/>
    <n v="2251.7630065371809"/>
    <n v="508.64939845733022"/>
    <n v="517.39582086915505"/>
    <n v="523.36445984662919"/>
    <n v="540.42312156892342"/>
  </r>
  <r>
    <s v="Madonas novads"/>
    <x v="25"/>
    <s v="Madonas novads"/>
    <x v="5"/>
    <n v="2159"/>
    <n v="21676"/>
    <n v="21228"/>
    <n v="20780"/>
    <n v="17645"/>
    <n v="204692.70869235962"/>
    <n v="215681.52311445642"/>
    <n v="224472.55977443053"/>
    <n v="277849.87215407082"/>
    <n v="5619.8313565731751"/>
    <n v="5716.4380268885279"/>
    <n v="5782.2838194985152"/>
    <n v="5970.4110764332918"/>
    <n v="1348.759525577562"/>
    <n v="1371.9451264532468"/>
    <n v="1387.7481166796435"/>
    <n v="1432.8986583439898"/>
  </r>
  <r>
    <s v="Mazsalacas novads"/>
    <x v="8"/>
    <s v="Valmieras novads"/>
    <x v="5"/>
    <n v="417"/>
    <n v="2867"/>
    <n v="2790"/>
    <n v="2714"/>
    <n v="2177"/>
    <n v="27073.90643204443"/>
    <n v="28347.062817473779"/>
    <n v="29317.542215005025"/>
    <n v="34280.485785174962"/>
    <n v="743.3131804435917"/>
    <n v="751.31251625301456"/>
    <n v="755.20299740707264"/>
    <n v="736.61575026326307"/>
    <n v="178.39516330646202"/>
    <n v="180.3150039007235"/>
    <n v="181.24871937769746"/>
    <n v="176.78778006318313"/>
  </r>
  <r>
    <s v="Mālpils novads"/>
    <x v="34"/>
    <s v="Siguldas novads"/>
    <x v="1"/>
    <n v="221"/>
    <n v="3324"/>
    <n v="3296"/>
    <n v="3268"/>
    <n v="3070"/>
    <n v="43122.650332580626"/>
    <n v="45079.182005363429"/>
    <n v="46538.679994891507"/>
    <n v="54076.868473659808"/>
    <n v="1183.9308984952768"/>
    <n v="1194.7817620878823"/>
    <n v="1198.8095853929551"/>
    <n v="1161.998499444818"/>
    <n v="284.14341563886643"/>
    <n v="286.74762290109175"/>
    <n v="287.71430049430921"/>
    <n v="278.87963986675629"/>
  </r>
  <r>
    <s v="Mārupes novads"/>
    <x v="20"/>
    <s v="Mārupes novads"/>
    <x v="1"/>
    <n v="104"/>
    <n v="21577"/>
    <n v="22373"/>
    <n v="23169"/>
    <n v="28740"/>
    <n v="279921.00668654998"/>
    <n v="305994.09557220753"/>
    <n v="329943.29155496979"/>
    <n v="506244.03906611819"/>
    <n v="7685.2217198653989"/>
    <n v="8110.0887024248159"/>
    <n v="8499.1491077017672"/>
    <n v="10878.12276027494"/>
    <n v="1844.4532127676957"/>
    <n v="1946.4212885819559"/>
    <n v="2039.7957858484242"/>
    <n v="2610.7494624659857"/>
  </r>
  <r>
    <s v="Mērsraga novads"/>
    <x v="29"/>
    <s v="Talsu novads"/>
    <x v="3"/>
    <n v="110"/>
    <n v="1431"/>
    <n v="1408"/>
    <n v="1385"/>
    <n v="1222"/>
    <n v="13710.647733851087"/>
    <n v="14435.733180332787"/>
    <n v="15011.99204933293"/>
    <n v="18411.632597382093"/>
    <n v="376.42536730230546"/>
    <n v="382.60567204117496"/>
    <n v="386.70026667190831"/>
    <n v="395.62737366917224"/>
    <n v="90.342088152553302"/>
    <n v="91.825361289881997"/>
    <n v="92.808064001257989"/>
    <n v="94.950569680601333"/>
  </r>
  <r>
    <s v="Naukšēnu novads"/>
    <x v="8"/>
    <s v="Valmieras novads"/>
    <x v="5"/>
    <n v="281"/>
    <n v="1689"/>
    <n v="1642"/>
    <n v="1596"/>
    <n v="1270"/>
    <n v="15949.713276499142"/>
    <n v="16683.110088276684"/>
    <n v="17240.529615014009"/>
    <n v="19998.262263285345"/>
    <n v="437.89883563628405"/>
    <n v="442.17030526431898"/>
    <n v="444.10611048698894"/>
    <n v="429.7207178844024"/>
    <n v="105.09572055270817"/>
    <n v="106.12087326343655"/>
    <n v="106.58546651687735"/>
    <n v="103.13297229225658"/>
  </r>
  <r>
    <s v="Neretas novads"/>
    <x v="11"/>
    <s v="Aizkraukles novads"/>
    <x v="1"/>
    <n v="645"/>
    <n v="3278"/>
    <n v="3221"/>
    <n v="3164"/>
    <n v="2766"/>
    <n v="27975.111902274795"/>
    <n v="29368.303147252354"/>
    <n v="30448.523060697793"/>
    <n v="36507.8111191274"/>
    <n v="768.05574598327439"/>
    <n v="778.37954068533202"/>
    <n v="784.33641242574424"/>
    <n v="784.47630078846248"/>
    <n v="184.33337903598584"/>
    <n v="186.8110897644797"/>
    <n v="188.24073898217861"/>
    <n v="188.27431218923101"/>
  </r>
  <r>
    <s v="Nīcas novads"/>
    <x v="12"/>
    <s v="Dienvidkurzemes novads"/>
    <x v="4"/>
    <n v="351"/>
    <n v="3113"/>
    <n v="3058"/>
    <n v="3003"/>
    <n v="2616"/>
    <n v="29826.167991249778"/>
    <n v="31352.608001035271"/>
    <n v="32549.467237651112"/>
    <n v="39414.755216654303"/>
    <n v="818.87642796092018"/>
    <n v="830.97169396442689"/>
    <n v="838.45552405468641"/>
    <n v="846.94043332123942"/>
    <n v="196.53034271062086"/>
    <n v="199.43320655146246"/>
    <n v="201.22932577312477"/>
    <n v="203.26570399709749"/>
  </r>
  <r>
    <s v="Ogres novads"/>
    <x v="33"/>
    <s v="Ogres novads"/>
    <x v="1"/>
    <n v="990"/>
    <n v="32790"/>
    <n v="32305"/>
    <n v="31820"/>
    <n v="28423"/>
    <n v="425388.59939991537"/>
    <n v="441833.42678497138"/>
    <n v="453139.77889762778"/>
    <n v="500660.20606737223"/>
    <n v="11679.029531185355"/>
    <n v="11710.38374522119"/>
    <n v="11672.619647247195"/>
    <n v="10758.137898931616"/>
    <n v="2802.9670874844855"/>
    <n v="2810.4920988530857"/>
    <n v="2801.4287153393266"/>
    <n v="2581.9530957435877"/>
  </r>
  <r>
    <s v="Olaines novads"/>
    <x v="37"/>
    <s v="Olaines novads"/>
    <x v="1"/>
    <n v="298"/>
    <n v="19705"/>
    <n v="19494"/>
    <n v="19283"/>
    <n v="17804"/>
    <n v="255635.32635484391"/>
    <n v="266618.1959989547"/>
    <n v="274603.84526973468"/>
    <n v="313610.60791695089"/>
    <n v="7018.4591921929677"/>
    <n v="7066.4671329311832"/>
    <n v="7073.6368528556777"/>
    <n v="6738.834294500175"/>
    <n v="1684.4302061263122"/>
    <n v="1695.9521119034841"/>
    <n v="1697.6728446853629"/>
    <n v="1617.320230680042"/>
  </r>
  <r>
    <s v="Ozolnieku novads"/>
    <x v="35"/>
    <s v="Jelgavas novads"/>
    <x v="1"/>
    <n v="286"/>
    <n v="9948"/>
    <n v="9970"/>
    <n v="9993"/>
    <n v="10150"/>
    <n v="84898.2346564459"/>
    <n v="90904.061588980432"/>
    <n v="96166.906114270867"/>
    <n v="133967.56430193171"/>
    <n v="2330.8781455282528"/>
    <n v="2409.3275444373671"/>
    <n v="2477.2040990424971"/>
    <n v="2878.6820148238953"/>
    <n v="559.41075492678067"/>
    <n v="578.23861066496806"/>
    <n v="594.52898377019926"/>
    <n v="690.88368355773491"/>
  </r>
  <r>
    <s v="Pārgaujas novads"/>
    <x v="16"/>
    <s v="Cēsu novads"/>
    <x v="5"/>
    <n v="486"/>
    <n v="3603"/>
    <n v="3540"/>
    <n v="3477"/>
    <n v="3038"/>
    <n v="34024.166332283254"/>
    <n v="35967.240994214044"/>
    <n v="37559.72523270909"/>
    <n v="47838.362799890456"/>
    <n v="934.13232966106068"/>
    <n v="953.27824642855614"/>
    <n v="967.51688356094019"/>
    <n v="1027.9460952226884"/>
    <n v="224.19175911865457"/>
    <n v="228.78677914285348"/>
    <n v="232.20405205462563"/>
    <n v="246.70706285344522"/>
  </r>
  <r>
    <s v="Pāvilostas novads"/>
    <x v="12"/>
    <s v="Dienvidkurzemes novads"/>
    <x v="4"/>
    <n v="515"/>
    <n v="2543"/>
    <n v="2498"/>
    <n v="2453"/>
    <n v="2137"/>
    <n v="24364.903694747249"/>
    <n v="25611.123213402912"/>
    <n v="26588.026351634424"/>
    <n v="32197.756841739389"/>
    <n v="668.93760241073562"/>
    <n v="678.79898349350503"/>
    <n v="684.89224126078773"/>
    <n v="691.86227293864238"/>
    <n v="160.54502457857654"/>
    <n v="162.91175603844121"/>
    <n v="164.37413790258907"/>
    <n v="166.04694550527415"/>
  </r>
  <r>
    <s v="Pļaviņu novads"/>
    <x v="11"/>
    <s v="Aizkraukles novads"/>
    <x v="1"/>
    <n v="376"/>
    <n v="4765"/>
    <n v="4677"/>
    <n v="4589"/>
    <n v="3972"/>
    <n v="40665.469253916839"/>
    <n v="42643.760887829638"/>
    <n v="44161.906550424203"/>
    <n v="52425.533537662341"/>
    <n v="1116.469075537005"/>
    <n v="1130.2331921096857"/>
    <n v="1137.5852707401202"/>
    <n v="1126.5147746680309"/>
    <n v="267.95257812888121"/>
    <n v="271.25596610632454"/>
    <n v="273.02046497762882"/>
    <n v="270.36354592032745"/>
  </r>
  <r>
    <s v="Preiļu novads"/>
    <x v="10"/>
    <s v="Preiļu novads"/>
    <x v="2"/>
    <n v="364"/>
    <n v="8948"/>
    <n v="8762"/>
    <n v="8577"/>
    <n v="7277"/>
    <n v="58841.164107588316"/>
    <n v="61978.675621562441"/>
    <n v="64490.008032500285"/>
    <n v="79608.75803489385"/>
    <n v="1615.4821596800521"/>
    <n v="1642.6871113631391"/>
    <n v="1661.2254537497922"/>
    <n v="1710.6252634482792"/>
    <n v="387.71571832321251"/>
    <n v="394.24490672715342"/>
    <n v="398.69410889995015"/>
    <n v="410.55006322758697"/>
  </r>
  <r>
    <s v="Priekules novads"/>
    <x v="12"/>
    <s v="Dienvidkurzemes novads"/>
    <x v="4"/>
    <n v="520"/>
    <n v="4955"/>
    <n v="4868"/>
    <n v="4781"/>
    <n v="4170"/>
    <n v="47474.674717842165"/>
    <n v="49909.907046775574"/>
    <n v="51821.17977462869"/>
    <n v="62828.566228382428"/>
    <n v="1303.415580002043"/>
    <n v="1322.815633165085"/>
    <n v="1334.883736432053"/>
    <n v="1350.0541310969297"/>
    <n v="312.81973920049035"/>
    <n v="317.47575195962042"/>
    <n v="320.37209674369274"/>
    <n v="324.01299146326312"/>
  </r>
  <r>
    <s v="Priekuļu novads"/>
    <x v="16"/>
    <s v="Cēsu novads"/>
    <x v="5"/>
    <n v="301"/>
    <n v="7509"/>
    <n v="7377"/>
    <n v="7245"/>
    <n v="6320"/>
    <n v="70909.648900670261"/>
    <n v="74952.072546417228"/>
    <n v="78262.930489208331"/>
    <n v="99518.911420443619"/>
    <n v="1946.8219992852914"/>
    <n v="1986.5349220066266"/>
    <n v="2016.0080015527788"/>
    <n v="2138.4527063223804"/>
    <n v="467.23727982846992"/>
    <n v="476.76838128159039"/>
    <n v="483.84192037266689"/>
    <n v="513.22864951737131"/>
  </r>
  <r>
    <s v="Raunas novads"/>
    <x v="17"/>
    <s v="Smiltenes novads"/>
    <x v="5"/>
    <n v="309"/>
    <n v="3005"/>
    <n v="2919"/>
    <n v="2832"/>
    <n v="2228"/>
    <n v="28377.080163339208"/>
    <n v="29657.733463873104"/>
    <n v="30592.217963483505"/>
    <n v="35083.56560834626"/>
    <n v="779.09177092186712"/>
    <n v="786.05062184320764"/>
    <n v="788.03791033781499"/>
    <n v="753.8722515326366"/>
    <n v="186.98202502124812"/>
    <n v="188.65214924236986"/>
    <n v="189.1290984810756"/>
    <n v="180.92934036783276"/>
  </r>
  <r>
    <s v="Rēzeknes novads"/>
    <x v="38"/>
    <s v="Rēzeknes novads"/>
    <x v="2"/>
    <n v="2525"/>
    <n v="24244"/>
    <n v="23823"/>
    <n v="23402"/>
    <n v="20457"/>
    <n v="159426.14915337184"/>
    <n v="168513.80841502876"/>
    <n v="175958.39663945106"/>
    <n v="223795.02035451744"/>
    <n v="4377.0395037196222"/>
    <n v="4466.301649623837"/>
    <n v="4532.5869265072442"/>
    <n v="4808.885669144076"/>
    <n v="1050.4894808927095"/>
    <n v="1071.912395909721"/>
    <n v="1087.8208623617386"/>
    <n v="1154.1325605945783"/>
  </r>
  <r>
    <s v="Riebiņu novads"/>
    <x v="10"/>
    <s v="Preiļu novads"/>
    <x v="2"/>
    <n v="630"/>
    <n v="4466"/>
    <n v="4370"/>
    <n v="4275"/>
    <n v="3606"/>
    <n v="29367.974844042183"/>
    <n v="30911.528471379581"/>
    <n v="32143.498232358485"/>
    <n v="39448.8362613477"/>
    <n v="806.29675068519362"/>
    <n v="819.28129156093564"/>
    <n v="827.99799636007481"/>
    <n v="847.6727635006863"/>
    <n v="193.51122016444646"/>
    <n v="196.62750997462459"/>
    <n v="198.71951912641796"/>
    <n v="203.44146324016472"/>
  </r>
  <r>
    <s v="Rojas novads"/>
    <x v="29"/>
    <s v="Talsu novads"/>
    <x v="3"/>
    <n v="200"/>
    <n v="3390"/>
    <n v="3328"/>
    <n v="3266"/>
    <n v="2831"/>
    <n v="32480.150816041358"/>
    <n v="34120.823880786586"/>
    <n v="35400.119879509999"/>
    <n v="42654.117744016941"/>
    <n v="891.74143616688707"/>
    <n v="904.34067937004988"/>
    <n v="911.88669382704154"/>
    <n v="916.54754079985798"/>
    <n v="214.01794468005289"/>
    <n v="217.04176304881199"/>
    <n v="218.85280651848998"/>
    <n v="219.97140979196593"/>
  </r>
  <r>
    <s v="Ropažu novads"/>
    <x v="31"/>
    <s v="Ropažu novads"/>
    <x v="1"/>
    <n v="325"/>
    <n v="6836"/>
    <n v="6846"/>
    <n v="6856"/>
    <n v="6924"/>
    <n v="88684.247194200099"/>
    <n v="93632.305827887758"/>
    <n v="97634.391078634071"/>
    <n v="121963.59521551157"/>
    <n v="2434.8229910089381"/>
    <n v="2481.6371187055956"/>
    <n v="2515.0056662956245"/>
    <n v="2620.7418925589313"/>
    <n v="584.35751784214517"/>
    <n v="595.59290848934302"/>
    <n v="603.6013599109499"/>
    <n v="628.97805421414353"/>
  </r>
  <r>
    <s v="Rucavas novads"/>
    <x v="12"/>
    <s v="Dienvidkurzemes novads"/>
    <x v="4"/>
    <n v="448"/>
    <n v="1505"/>
    <n v="1463"/>
    <n v="1421"/>
    <n v="1127"/>
    <n v="14419.653975853169"/>
    <n v="14999.629007689537"/>
    <n v="15402.195452781296"/>
    <n v="16980.286364361389"/>
    <n v="395.89110956671539"/>
    <n v="397.55120610528337"/>
    <n v="396.75168154569076"/>
    <n v="364.87074478327094"/>
    <n v="95.013866296011699"/>
    <n v="95.412289465268003"/>
    <n v="95.220403570965786"/>
    <n v="87.568978747985028"/>
  </r>
  <r>
    <s v="Rugāju novads"/>
    <x v="22"/>
    <s v="Balvu novads"/>
    <x v="5"/>
    <n v="515"/>
    <n v="2026"/>
    <n v="2003"/>
    <n v="1980"/>
    <n v="1818"/>
    <n v="13322.775869688638"/>
    <n v="14168.373347408078"/>
    <n v="14887.514970776561"/>
    <n v="19888.514787335029"/>
    <n v="365.77635846130812"/>
    <n v="375.51954851179727"/>
    <n v="383.4938088404557"/>
    <n v="427.36247477655229"/>
    <n v="87.786326030713937"/>
    <n v="90.124691642831351"/>
    <n v="92.038514121709369"/>
    <n v="102.56699394637256"/>
  </r>
  <r>
    <s v="Rundāles novads"/>
    <x v="23"/>
    <s v="Bauskas novads"/>
    <x v="1"/>
    <n v="231"/>
    <n v="3290"/>
    <n v="3249"/>
    <n v="3207"/>
    <n v="2917"/>
    <n v="28077.522318024428"/>
    <n v="29623.600411494226"/>
    <n v="30862.330422142168"/>
    <n v="38500.826115146287"/>
    <n v="770.86742046521431"/>
    <n v="785.14595705887723"/>
    <n v="794.99585165909025"/>
    <n v="827.30201352131064"/>
    <n v="185.00818091165144"/>
    <n v="188.43502969413055"/>
    <n v="190.79900439818167"/>
    <n v="198.55248324511459"/>
  </r>
  <r>
    <s v="Rūjienas novads"/>
    <x v="8"/>
    <s v="Valmieras novads"/>
    <x v="5"/>
    <n v="353"/>
    <n v="4817"/>
    <n v="4711"/>
    <n v="4605"/>
    <n v="3865"/>
    <n v="45488.317852514134"/>
    <n v="47864.879187497841"/>
    <n v="49744.761201215231"/>
    <n v="60860.853265825092"/>
    <n v="1248.8802198105273"/>
    <n v="1268.6140731426349"/>
    <n v="1281.3963902209173"/>
    <n v="1307.7721060025317"/>
    <n v="299.73125275452657"/>
    <n v="304.46737755423237"/>
    <n v="307.53513365302013"/>
    <n v="313.86530544060759"/>
  </r>
  <r>
    <s v="Salacgrīvas novads"/>
    <x v="13"/>
    <s v="Limbažu novads"/>
    <x v="5"/>
    <n v="638"/>
    <n v="7282"/>
    <n v="7147"/>
    <n v="7012"/>
    <n v="6066"/>
    <n v="94470.258640749729"/>
    <n v="97749.063650586293"/>
    <n v="99855.943734448971"/>
    <n v="106850.25542710762"/>
    <n v="2593.6777385206392"/>
    <n v="2590.7479531681115"/>
    <n v="2572.2315828566102"/>
    <n v="2295.9879145381974"/>
    <n v="622.48265724495343"/>
    <n v="621.77950876034674"/>
    <n v="617.33557988558653"/>
    <n v="551.03709948916742"/>
  </r>
  <r>
    <s v="Salas novads"/>
    <x v="3"/>
    <s v="Jēkabpils novads"/>
    <x v="2"/>
    <n v="317"/>
    <n v="3241"/>
    <n v="3189"/>
    <n v="3138"/>
    <n v="2777"/>
    <n v="27659.346453713428"/>
    <n v="29076.534845261645"/>
    <n v="30198.313958429102"/>
    <n v="36652.997642016191"/>
    <n v="759.38641633062616"/>
    <n v="770.64649340128028"/>
    <n v="777.89117009860479"/>
    <n v="787.59605469615337"/>
    <n v="182.25273991935026"/>
    <n v="184.95515841630726"/>
    <n v="186.69388082366518"/>
    <n v="189.02305312707679"/>
  </r>
  <r>
    <s v="Salaspils novads"/>
    <x v="39"/>
    <s v="Salaspils novads"/>
    <x v="1"/>
    <n v="123"/>
    <n v="22868"/>
    <n v="23017"/>
    <n v="23165"/>
    <n v="24205"/>
    <n v="296669.30439393915"/>
    <n v="314802.0425417021"/>
    <n v="329886.32866635913"/>
    <n v="426361.75941528846"/>
    <n v="8145.0456638959049"/>
    <n v="8343.535138949268"/>
    <n v="8497.6817765078958"/>
    <n v="9161.6200908996143"/>
    <n v="1954.8109593350173"/>
    <n v="2002.4484333478244"/>
    <n v="2039.443626361895"/>
    <n v="2198.7888218159073"/>
  </r>
  <r>
    <s v="Saldus novads"/>
    <x v="24"/>
    <s v="Saldus novads"/>
    <x v="4"/>
    <n v="1682"/>
    <n v="21438"/>
    <n v="20996"/>
    <n v="20554"/>
    <n v="17459"/>
    <n v="205401.02454108986"/>
    <n v="215264.6689305875"/>
    <n v="222784.46540215815"/>
    <n v="263051.30402429949"/>
    <n v="5639.2781441137831"/>
    <n v="5705.3896947276353"/>
    <n v="5738.7994809923484"/>
    <n v="5652.4208812521101"/>
    <n v="1353.4267545873079"/>
    <n v="1369.2935267346327"/>
    <n v="1377.3118754381637"/>
    <n v="1356.5810115005063"/>
  </r>
  <r>
    <s v="Saulkrastu novads"/>
    <x v="40"/>
    <s v="Saulkrastu novads"/>
    <x v="5"/>
    <n v="48"/>
    <n v="7079"/>
    <n v="6951"/>
    <n v="6823"/>
    <n v="5926"/>
    <n v="91836.715314181172"/>
    <n v="95068.384138131427"/>
    <n v="97164.447247596312"/>
    <n v="104384.20930778763"/>
    <n v="2521.3738960433402"/>
    <n v="2519.6990377041475"/>
    <n v="2502.9001839461853"/>
    <n v="2242.9977549543946"/>
    <n v="605.12973505040168"/>
    <n v="604.72776904899536"/>
    <n v="600.69604414708442"/>
    <n v="538.31946118905466"/>
  </r>
  <r>
    <s v="Sējas novads"/>
    <x v="40"/>
    <s v="Saulkrastu novads"/>
    <x v="5"/>
    <n v="230"/>
    <n v="2151"/>
    <n v="2135"/>
    <n v="2120"/>
    <n v="2011"/>
    <n v="27905.1807657584"/>
    <n v="29200.25897495477"/>
    <n v="30190.330963638309"/>
    <n v="35422.991042517875"/>
    <n v="766.13578900822506"/>
    <n v="773.92568630389223"/>
    <n v="777.68553275185582"/>
    <n v="761.16579230733839"/>
    <n v="183.87258936197401"/>
    <n v="185.74216471293417"/>
    <n v="186.64452786044538"/>
    <n v="182.67979015376122"/>
  </r>
  <r>
    <s v="Siguldas novads"/>
    <x v="34"/>
    <s v="Siguldas novads"/>
    <x v="1"/>
    <n v="361"/>
    <n v="18081"/>
    <n v="18101"/>
    <n v="18121"/>
    <n v="18259"/>
    <n v="234566.97974229552"/>
    <n v="247566.22374972192"/>
    <n v="258056.12612834424"/>
    <n v="321625.25780474086"/>
    <n v="6440.0284523745786"/>
    <n v="6561.5123408837253"/>
    <n v="6647.3771410360287"/>
    <n v="6911.0523131475347"/>
    <n v="1545.6068285698989"/>
    <n v="1574.7629618120941"/>
    <n v="1595.3705138486469"/>
    <n v="1658.6525551554084"/>
  </r>
  <r>
    <s v="Skrīveru novads"/>
    <x v="11"/>
    <s v="Aizkraukles novads"/>
    <x v="1"/>
    <n v="105"/>
    <n v="3417"/>
    <n v="3351"/>
    <n v="3285"/>
    <n v="2822"/>
    <n v="29161.365884708048"/>
    <n v="30553.611874089613"/>
    <n v="31612.957728948244"/>
    <n v="37246.942508379434"/>
    <n v="800.6243087324126"/>
    <n v="809.79504527679217"/>
    <n v="814.33157864050872"/>
    <n v="800.35868431852532"/>
    <n v="192.14983409577903"/>
    <n v="194.35081086643012"/>
    <n v="195.43957887372213"/>
    <n v="192.08608423644608"/>
  </r>
  <r>
    <s v="Skrundas novads"/>
    <x v="14"/>
    <s v="Kuldīgas novads"/>
    <x v="3"/>
    <n v="557"/>
    <n v="4526"/>
    <n v="4445"/>
    <n v="4365"/>
    <n v="3800"/>
    <n v="43364.354747316575"/>
    <n v="45573.035501831844"/>
    <n v="47312.162668114252"/>
    <n v="57253.849320828114"/>
    <n v="1190.5668849826936"/>
    <n v="1207.8708893629423"/>
    <n v="1218.7340534461225"/>
    <n v="1230.2651554360511"/>
    <n v="285.73605239584646"/>
    <n v="289.88901344710615"/>
    <n v="292.49617282706942"/>
    <n v="295.26363730465226"/>
  </r>
  <r>
    <s v="Smiltenes novads"/>
    <x v="17"/>
    <s v="Smiltenes novads"/>
    <x v="5"/>
    <n v="947"/>
    <n v="11945"/>
    <n v="11724"/>
    <n v="11503"/>
    <n v="9956"/>
    <n v="112800.07406026185"/>
    <n v="119118.6252588038"/>
    <n v="124259.28080294872"/>
    <n v="156773.77881359757"/>
    <n v="3096.9221975579708"/>
    <n v="3157.1282941040658"/>
    <n v="3200.8474867993946"/>
    <n v="3368.7397379977247"/>
    <n v="743.26132741391302"/>
    <n v="757.71079058497583"/>
    <n v="768.20339683185477"/>
    <n v="808.49753711945402"/>
  </r>
  <r>
    <s v="Stopiņu novads"/>
    <x v="31"/>
    <s v="Ropažu novads"/>
    <x v="1"/>
    <n v="53"/>
    <n v="12201"/>
    <n v="12096"/>
    <n v="11992"/>
    <n v="11259"/>
    <n v="158285.03511065469"/>
    <n v="165436.22134007161"/>
    <n v="170774.74005469368"/>
    <n v="198322.95183874128"/>
    <n v="4345.7102564804063"/>
    <n v="4384.7330686331989"/>
    <n v="4399.0589192265361"/>
    <n v="4261.5443339573958"/>
    <n v="1042.9704615552976"/>
    <n v="1052.3359364719677"/>
    <n v="1055.7741406143687"/>
    <n v="1022.770640149775"/>
  </r>
  <r>
    <s v="Strenču novads"/>
    <x v="8"/>
    <s v="Valmieras novads"/>
    <x v="5"/>
    <n v="375"/>
    <n v="2892"/>
    <n v="2758"/>
    <n v="2624"/>
    <n v="1684"/>
    <n v="27309.988629742758"/>
    <n v="28021.935215266196"/>
    <n v="28345.331898368899"/>
    <n v="26517.380827852379"/>
    <n v="749.79480915342413"/>
    <n v="742.69531176552482"/>
    <n v="730.15941974803195"/>
    <n v="569.80290465931785"/>
    <n v="179.9507541968218"/>
    <n v="178.24687482372596"/>
    <n v="175.23826073952768"/>
    <n v="136.75269711823628"/>
  </r>
  <r>
    <s v="Talsu novads"/>
    <x v="29"/>
    <s v="Talsu novads"/>
    <x v="3"/>
    <n v="1763"/>
    <n v="27391"/>
    <n v="26899"/>
    <n v="26407"/>
    <n v="22962"/>
    <n v="262437.70236052771"/>
    <n v="275786.07018307643"/>
    <n v="286225.03541280481"/>
    <n v="345963.91792233026"/>
    <n v="7205.2181941142208"/>
    <n v="7309.4531052809416"/>
    <n v="7372.9920158881459"/>
    <n v="7434.0390787164743"/>
    <n v="1729.252366587413"/>
    <n v="1754.2687452674261"/>
    <n v="1769.518083813155"/>
    <n v="1784.1693788919538"/>
  </r>
  <r>
    <s v="Tērvetes novads"/>
    <x v="18"/>
    <s v="Dobeles novads"/>
    <x v="1"/>
    <n v="224"/>
    <n v="3273"/>
    <n v="3233"/>
    <n v="3192"/>
    <n v="2910"/>
    <n v="27932.440895712447"/>
    <n v="29477.71626049887"/>
    <n v="30717.979016987152"/>
    <n v="38408.434691489783"/>
    <n v="766.88421494913268"/>
    <n v="781.27943341685136"/>
    <n v="791.27744262420208"/>
    <n v="825.3167155800528"/>
    <n v="184.05221158779185"/>
    <n v="187.50706402004434"/>
    <n v="189.90658622980848"/>
    <n v="198.07601173921267"/>
  </r>
  <r>
    <s v="Tukuma novads"/>
    <x v="30"/>
    <s v="Tukuma novads"/>
    <x v="3"/>
    <n v="1194"/>
    <n v="27614"/>
    <n v="27160"/>
    <n v="26707"/>
    <n v="23531"/>
    <n v="358239.73113233491"/>
    <n v="371465.58958303119"/>
    <n v="380326.96653107938"/>
    <n v="414489.50881227653"/>
    <n v="9835.4596362961984"/>
    <n v="9845.3497142921369"/>
    <n v="9797.0035486810448"/>
    <n v="8906.5103226175925"/>
    <n v="2360.5103127110879"/>
    <n v="2362.8839314301131"/>
    <n v="2351.2808516834507"/>
    <n v="2137.5624774282223"/>
  </r>
  <r>
    <s v="Vaiņodes novads"/>
    <x v="12"/>
    <s v="Dienvidkurzemes novads"/>
    <x v="4"/>
    <n v="307"/>
    <n v="2216"/>
    <n v="2181"/>
    <n v="2145"/>
    <n v="1897"/>
    <n v="21231.862598332642"/>
    <n v="22361.032717546739"/>
    <n v="23249.619455465079"/>
    <n v="28581.724253055509"/>
    <n v="582.9200656477351"/>
    <n v="592.65835988764388"/>
    <n v="598.89680289620458"/>
    <n v="614.16131575320765"/>
    <n v="139.90081575545642"/>
    <n v="142.23800637303455"/>
    <n v="143.73523269508908"/>
    <n v="147.39871578076983"/>
  </r>
  <r>
    <s v="Valkas novads"/>
    <x v="41"/>
    <s v="Valkas novads"/>
    <x v="5"/>
    <n v="908"/>
    <n v="7596"/>
    <n v="7345"/>
    <n v="7094"/>
    <n v="5339"/>
    <n v="71731.214948660447"/>
    <n v="74626.944944209652"/>
    <n v="76631.777624629933"/>
    <n v="84071.434821795643"/>
    <n v="1969.3780671955085"/>
    <n v="1977.9177175191371"/>
    <n v="1973.990443480388"/>
    <n v="1806.5188289644288"/>
    <n v="472.65073612692203"/>
    <n v="474.70025220459291"/>
    <n v="473.75770643529313"/>
    <n v="433.5645189514629"/>
  </r>
  <r>
    <s v="Varakļānu novads"/>
    <x v="42"/>
    <s v="Varakļānu novads"/>
    <x v="2"/>
    <n v="278"/>
    <n v="2945"/>
    <n v="2880"/>
    <n v="2815"/>
    <n v="2362"/>
    <n v="27810.482888863218"/>
    <n v="29261.48419868261"/>
    <n v="30408.578237007794"/>
    <n v="37193.618477070857"/>
    <n v="763.53586201826909"/>
    <n v="775.54840387407955"/>
    <n v="783.30745677999619"/>
    <n v="799.21286271099098"/>
    <n v="183.2486068843846"/>
    <n v="186.13161692977911"/>
    <n v="187.99378962719911"/>
    <n v="191.81108705063784"/>
  </r>
  <r>
    <s v="Vārkavas novads"/>
    <x v="10"/>
    <s v="Preiļu novads"/>
    <x v="2"/>
    <n v="288"/>
    <n v="1754"/>
    <n v="1724"/>
    <n v="1695"/>
    <n v="1488"/>
    <n v="11534.130738121357"/>
    <n v="12194.845557130067"/>
    <n v="12744.61508861933"/>
    <n v="16278.388340789068"/>
    <n v="316.66916719700617"/>
    <n v="323.21303127026385"/>
    <n v="328.2939424164507"/>
    <n v="349.78842819995043"/>
    <n v="76.000600127281487"/>
    <n v="77.571127504863327"/>
    <n v="78.790546179948166"/>
    <n v="83.949222767988104"/>
  </r>
  <r>
    <s v="Vecpiebalgas novads"/>
    <x v="16"/>
    <s v="Cēsu novads"/>
    <x v="5"/>
    <n v="542"/>
    <n v="3614"/>
    <n v="3506"/>
    <n v="3398"/>
    <n v="2642"/>
    <n v="34128.042499270516"/>
    <n v="35621.792916868486"/>
    <n v="36706.340621439602"/>
    <n v="41602.684172913294"/>
    <n v="936.98424629338695"/>
    <n v="944.12246666059821"/>
    <n v="945.53418761578223"/>
    <n v="893.9544383075521"/>
    <n v="224.87621911041288"/>
    <n v="226.58939199854359"/>
    <n v="226.92820502778775"/>
    <n v="214.54906519381251"/>
  </r>
  <r>
    <s v="Vecumnieku novads"/>
    <x v="23"/>
    <s v="Bauskas novads"/>
    <x v="1"/>
    <n v="844"/>
    <n v="7795"/>
    <n v="7650"/>
    <n v="7505"/>
    <n v="6488"/>
    <n v="66524.099230699212"/>
    <n v="69750.859694653991"/>
    <n v="72223.819712559081"/>
    <n v="85633.650954771714"/>
    <n v="1826.4168822268527"/>
    <n v="1848.6816163436167"/>
    <n v="1860.4439871223799"/>
    <n v="1840.0875775544268"/>
    <n v="438.34005173444467"/>
    <n v="443.68358792246801"/>
    <n v="446.50655690937123"/>
    <n v="441.62101861306246"/>
  </r>
  <r>
    <s v="Ventspils novads"/>
    <x v="43"/>
    <s v="Ventspils novads"/>
    <x v="3"/>
    <n v="2458"/>
    <n v="10777"/>
    <n v="10610"/>
    <n v="10443"/>
    <n v="9272"/>
    <n v="103256.21986562765"/>
    <n v="108780.63142282021"/>
    <n v="113191.50395031321"/>
    <n v="139699.39234282059"/>
    <n v="2834.8960051830509"/>
    <n v="2883.1293894580017"/>
    <n v="2915.7479313030603"/>
    <n v="3001.8469792639644"/>
    <n v="680.37504124393229"/>
    <n v="691.95105346992034"/>
    <n v="699.77950351273444"/>
    <n v="720.44327502335148"/>
  </r>
  <r>
    <s v="Viesītes novads"/>
    <x v="3"/>
    <s v="Jēkabpils novads"/>
    <x v="2"/>
    <n v="651"/>
    <n v="3535"/>
    <n v="3451"/>
    <n v="3367"/>
    <n v="2780"/>
    <n v="30168.401639579439"/>
    <n v="31465.387817810581"/>
    <n v="32402.078743795661"/>
    <n v="36692.593966440407"/>
    <n v="828.27244113815584"/>
    <n v="833.96081803945378"/>
    <n v="834.65888136456408"/>
    <n v="788.44689667097816"/>
    <n v="198.78538587315742"/>
    <n v="200.1505963294689"/>
    <n v="200.31813152749538"/>
    <n v="189.22725520103478"/>
  </r>
  <r>
    <s v="Viļakas novads"/>
    <x v="22"/>
    <s v="Balvu novads"/>
    <x v="5"/>
    <n v="641"/>
    <n v="4476"/>
    <n v="4352"/>
    <n v="4228"/>
    <n v="3359"/>
    <n v="29433.733856232153"/>
    <n v="30784.204097813257"/>
    <n v="31790.107725476417"/>
    <n v="36746.711314993598"/>
    <n v="808.10216212873411"/>
    <n v="815.90667754535286"/>
    <n v="818.89486049365996"/>
    <n v="789.6097650024418"/>
    <n v="193.94451891089619"/>
    <n v="195.81760261088468"/>
    <n v="196.53476651847839"/>
    <n v="189.50634360058604"/>
  </r>
  <r>
    <s v="Viļānu novads"/>
    <x v="38"/>
    <s v="Rēzeknes novads"/>
    <x v="2"/>
    <n v="287"/>
    <n v="5399"/>
    <n v="5293"/>
    <n v="5186"/>
    <n v="4441"/>
    <n v="35503.290681366714"/>
    <n v="37440.439404808261"/>
    <n v="38993.258908306692"/>
    <n v="48583.550148820061"/>
    <n v="974.74163836752371"/>
    <n v="992.32399913776476"/>
    <n v="1004.4438851750522"/>
    <n v="1043.9586086263305"/>
    <n v="233.93799320820571"/>
    <n v="238.15775979306352"/>
    <n v="241.06653244201252"/>
    <n v="250.55006607031933"/>
  </r>
  <r>
    <s v="Zilupes novads"/>
    <x v="26"/>
    <s v="Ludzas novads"/>
    <x v="2"/>
    <n v="309"/>
    <n v="2549"/>
    <n v="2479"/>
    <n v="2410"/>
    <n v="1922"/>
    <n v="16761.972207224255"/>
    <n v="17535.395670606402"/>
    <n v="18120.662161399756"/>
    <n v="21026.251606852547"/>
    <n v="460.19937695847705"/>
    <n v="464.75934136832024"/>
    <n v="466.77781783105974"/>
    <n v="451.81005309160264"/>
    <n v="110.4478504700345"/>
    <n v="111.54224192839685"/>
    <n v="112.02667627945435"/>
    <n v="108.4344127419846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CA23EEE-05AA-4980-9B28-EAE5F8C15A0C}" name="PivotTable1"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B3:AK18" firstHeaderRow="0" firstDataRow="1" firstDataCol="1"/>
  <pivotFields count="12">
    <pivotField axis="axisRow" showAll="0">
      <items count="17">
        <item x="2"/>
        <item x="5"/>
        <item x="3"/>
        <item x="4"/>
        <item x="12"/>
        <item x="10"/>
        <item x="6"/>
        <item x="13"/>
        <item x="7"/>
        <item x="1"/>
        <item x="8"/>
        <item x="9"/>
        <item x="14"/>
        <item x="11"/>
        <item m="1" x="15"/>
        <item h="1" x="0"/>
        <item t="default"/>
      </items>
    </pivotField>
    <pivotField showAll="0"/>
    <pivotField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s>
  <rowFields count="1">
    <field x="0"/>
  </rowFields>
  <rowItems count="15">
    <i>
      <x/>
    </i>
    <i>
      <x v="1"/>
    </i>
    <i>
      <x v="2"/>
    </i>
    <i>
      <x v="3"/>
    </i>
    <i>
      <x v="4"/>
    </i>
    <i>
      <x v="5"/>
    </i>
    <i>
      <x v="6"/>
    </i>
    <i>
      <x v="7"/>
    </i>
    <i>
      <x v="8"/>
    </i>
    <i>
      <x v="9"/>
    </i>
    <i>
      <x v="10"/>
    </i>
    <i>
      <x v="11"/>
    </i>
    <i>
      <x v="12"/>
    </i>
    <i>
      <x v="13"/>
    </i>
    <i t="grand">
      <x/>
    </i>
  </rowItems>
  <colFields count="1">
    <field x="-2"/>
  </colFields>
  <colItems count="9">
    <i>
      <x/>
    </i>
    <i i="1">
      <x v="1"/>
    </i>
    <i i="2">
      <x v="2"/>
    </i>
    <i i="3">
      <x v="3"/>
    </i>
    <i i="4">
      <x v="4"/>
    </i>
    <i i="5">
      <x v="5"/>
    </i>
    <i i="6">
      <x v="6"/>
    </i>
    <i i="7">
      <x v="7"/>
    </i>
    <i i="8">
      <x v="8"/>
    </i>
  </colItems>
  <dataFields count="9">
    <dataField name="Sum of 2013" fld="3" baseField="0" baseItem="0"/>
    <dataField name="Sum of 2014" fld="4" baseField="0" baseItem="0"/>
    <dataField name="Sum of 2015" fld="5" baseField="0" baseItem="0"/>
    <dataField name="Sum of 2016" fld="6" baseField="0" baseItem="0"/>
    <dataField name="Sum of 2017" fld="7" baseField="0" baseItem="0"/>
    <dataField name="Sum of 2018" fld="8" baseField="0" baseItem="0"/>
    <dataField name="Sum of 2019" fld="9" baseField="0" baseItem="0"/>
    <dataField name="Sum of 2020" fld="10" baseField="0" baseItem="0"/>
    <dataField name="Sum of 2021" fld="11" baseField="0" baseItem="0"/>
  </dataFields>
  <formats count="6">
    <format dxfId="7">
      <pivotArea type="all" dataOnly="0" outline="0" fieldPosition="0"/>
    </format>
    <format dxfId="6">
      <pivotArea outline="0" collapsedLevelsAreSubtotals="1" fieldPosition="0"/>
    </format>
    <format dxfId="5">
      <pivotArea field="0" type="button" dataOnly="0" labelOnly="1" outline="0" axis="axisRow" fieldPosition="0"/>
    </format>
    <format dxfId="4">
      <pivotArea dataOnly="0" labelOnly="1" fieldPosition="0">
        <references count="1">
          <reference field="0" count="0"/>
        </references>
      </pivotArea>
    </format>
    <format dxfId="3">
      <pivotArea dataOnly="0" labelOnly="1" grandRow="1" outline="0" fieldPosition="0"/>
    </format>
    <format dxfId="2">
      <pivotArea dataOnly="0" labelOnly="1" outline="0" fieldPosition="0">
        <references count="1">
          <reference field="4294967294" count="9">
            <x v="0"/>
            <x v="1"/>
            <x v="2"/>
            <x v="3"/>
            <x v="4"/>
            <x v="5"/>
            <x v="6"/>
            <x v="7"/>
            <x v="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E158DC7-1775-4583-9A29-395F262ACDCB}" name="PivotTable2"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B22:AF37" firstHeaderRow="0" firstDataRow="1" firstDataCol="1"/>
  <pivotFields count="11">
    <pivotField dataField="1" numFmtId="1" showAll="0"/>
    <pivotField dataField="1" numFmtId="1" showAll="0"/>
    <pivotField dataField="1" numFmtId="1" showAll="0"/>
    <pivotField numFmtId="1" showAll="0"/>
    <pivotField numFmtId="1" showAll="0"/>
    <pivotField numFmtId="1" showAll="0"/>
    <pivotField numFmtId="1" showAll="0"/>
    <pivotField numFmtId="1" showAll="0"/>
    <pivotField numFmtId="1" showAll="0"/>
    <pivotField dataField="1" showAll="0"/>
    <pivotField axis="axisRow" showAll="0">
      <items count="16">
        <item x="2"/>
        <item x="5"/>
        <item x="3"/>
        <item x="4"/>
        <item x="12"/>
        <item x="10"/>
        <item x="6"/>
        <item h="1" x="0"/>
        <item x="13"/>
        <item x="7"/>
        <item x="1"/>
        <item x="8"/>
        <item x="9"/>
        <item x="14"/>
        <item x="11"/>
        <item t="default"/>
      </items>
    </pivotField>
  </pivotFields>
  <rowFields count="1">
    <field x="10"/>
  </rowFields>
  <rowItems count="15">
    <i>
      <x/>
    </i>
    <i>
      <x v="1"/>
    </i>
    <i>
      <x v="2"/>
    </i>
    <i>
      <x v="3"/>
    </i>
    <i>
      <x v="4"/>
    </i>
    <i>
      <x v="5"/>
    </i>
    <i>
      <x v="6"/>
    </i>
    <i>
      <x v="8"/>
    </i>
    <i>
      <x v="9"/>
    </i>
    <i>
      <x v="10"/>
    </i>
    <i>
      <x v="11"/>
    </i>
    <i>
      <x v="12"/>
    </i>
    <i>
      <x v="13"/>
    </i>
    <i>
      <x v="14"/>
    </i>
    <i t="grand">
      <x/>
    </i>
  </rowItems>
  <colFields count="1">
    <field x="-2"/>
  </colFields>
  <colItems count="4">
    <i>
      <x/>
    </i>
    <i i="1">
      <x v="1"/>
    </i>
    <i i="2">
      <x v="2"/>
    </i>
    <i i="3">
      <x v="3"/>
    </i>
  </colItems>
  <dataFields count="4">
    <dataField name="Sum of 2021" fld="0" baseField="0" baseItem="0"/>
    <dataField name="Sum of 2022" fld="1" baseField="0" baseItem="0"/>
    <dataField name="Sum of 2023" fld="2" baseField="0" baseItem="0"/>
    <dataField name="Sum of 2030" fld="9" baseField="0" baseItem="0"/>
  </dataFields>
  <formats count="6">
    <format dxfId="13">
      <pivotArea type="all" dataOnly="0" outline="0" fieldPosition="0"/>
    </format>
    <format dxfId="12">
      <pivotArea outline="0" collapsedLevelsAreSubtotals="1" fieldPosition="0"/>
    </format>
    <format dxfId="11">
      <pivotArea field="10" type="button" dataOnly="0" labelOnly="1" outline="0" axis="axisRow" fieldPosition="0"/>
    </format>
    <format dxfId="10">
      <pivotArea dataOnly="0" labelOnly="1" fieldPosition="0">
        <references count="1">
          <reference field="10" count="0"/>
        </references>
      </pivotArea>
    </format>
    <format dxfId="9">
      <pivotArea dataOnly="0" labelOnly="1" grandRow="1" outline="0" fieldPosition="0"/>
    </format>
    <format dxfId="8">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2B2911-EE1A-459B-AFA0-CAFAC9BEE706}" name="PivotTable4" cacheId="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188:Q194" firstHeaderRow="0" firstDataRow="1" firstDataCol="1"/>
  <pivotFields count="21">
    <pivotField showAll="0"/>
    <pivotField showAll="0"/>
    <pivotField showAll="0"/>
    <pivotField axis="axisRow" showAll="0">
      <items count="7">
        <item x="4"/>
        <item x="2"/>
        <item h="1" x="0"/>
        <item x="1"/>
        <item x="5"/>
        <item x="3"/>
        <item t="default"/>
      </items>
    </pivotField>
    <pivotField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s>
  <rowFields count="1">
    <field x="3"/>
  </rowFields>
  <rowItems count="6">
    <i>
      <x/>
    </i>
    <i>
      <x v="1"/>
    </i>
    <i>
      <x v="3"/>
    </i>
    <i>
      <x v="4"/>
    </i>
    <i>
      <x v="5"/>
    </i>
    <i t="grand">
      <x/>
    </i>
  </rowItems>
  <colFields count="1">
    <field x="-2"/>
  </colFields>
  <colItems count="16">
    <i>
      <x/>
    </i>
    <i i="1">
      <x v="1"/>
    </i>
    <i i="2">
      <x v="2"/>
    </i>
    <i i="3">
      <x v="3"/>
    </i>
    <i i="4">
      <x v="4"/>
    </i>
    <i i="5">
      <x v="5"/>
    </i>
    <i i="6">
      <x v="6"/>
    </i>
    <i i="7">
      <x v="7"/>
    </i>
    <i i="8">
      <x v="8"/>
    </i>
    <i i="9">
      <x v="9"/>
    </i>
    <i i="10">
      <x v="10"/>
    </i>
    <i i="11">
      <x v="11"/>
    </i>
    <i i="12">
      <x v="12"/>
    </i>
    <i i="13">
      <x v="13"/>
    </i>
    <i i="14">
      <x v="14"/>
    </i>
    <i i="15">
      <x v="15"/>
    </i>
  </colItems>
  <dataFields count="16">
    <dataField name="Sum of IS_2021" fld="5" baseField="0" baseItem="0"/>
    <dataField name="Sum of IS_2022" fld="6" baseField="0" baseItem="0"/>
    <dataField name="Sum of IS_2023" fld="7" baseField="0" baseItem="0"/>
    <dataField name="Sum of IS_2030" fld="8" baseField="0" baseItem="0"/>
    <dataField name="Sum of IS_20212" fld="9" baseField="0" baseItem="0"/>
    <dataField name="Sum of IS_20222" fld="10" baseField="0" baseItem="0"/>
    <dataField name="Sum of IS_20232" fld="11" baseField="0" baseItem="0"/>
    <dataField name="Sum of IS_20302" fld="12" baseField="0" baseItem="0"/>
    <dataField name="Sum of SA_2021" fld="13" baseField="0" baseItem="0"/>
    <dataField name="Sum of SA_2022" fld="14" baseField="0" baseItem="0"/>
    <dataField name="Sum of SA_2023" fld="15" baseField="0" baseItem="0"/>
    <dataField name="Sum of SA_2030" fld="16" baseField="0" baseItem="0"/>
    <dataField name="Sum of BA_2021" fld="17" baseField="0" baseItem="0"/>
    <dataField name="Sum of BA_2022" fld="18" baseField="0" baseItem="0"/>
    <dataField name="Sum of BA_2023" fld="19" baseField="0" baseItem="0"/>
    <dataField name="Sum of BA_2030" fld="20"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F987871-CBD3-48FD-A830-536D5F0E1B1C}" name="PivotTable3" cacheId="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140:Q184" firstHeaderRow="0" firstDataRow="1" firstDataCol="1"/>
  <pivotFields count="21">
    <pivotField showAll="0"/>
    <pivotField axis="axisRow" showAll="0">
      <items count="45">
        <item x="11"/>
        <item x="15"/>
        <item x="28"/>
        <item x="19"/>
        <item x="22"/>
        <item x="23"/>
        <item x="16"/>
        <item x="2"/>
        <item x="12"/>
        <item x="18"/>
        <item x="32"/>
        <item x="5"/>
        <item x="35"/>
        <item x="3"/>
        <item x="4"/>
        <item x="27"/>
        <item x="14"/>
        <item x="21"/>
        <item x="6"/>
        <item x="13"/>
        <item x="36"/>
        <item x="26"/>
        <item x="25"/>
        <item x="20"/>
        <item h="1" x="0"/>
        <item x="33"/>
        <item x="37"/>
        <item x="10"/>
        <item x="7"/>
        <item x="38"/>
        <item x="1"/>
        <item x="31"/>
        <item x="39"/>
        <item x="24"/>
        <item x="40"/>
        <item x="34"/>
        <item x="17"/>
        <item x="29"/>
        <item x="30"/>
        <item x="41"/>
        <item x="8"/>
        <item x="42"/>
        <item x="9"/>
        <item x="43"/>
        <item t="default"/>
      </items>
    </pivotField>
    <pivotField showAll="0"/>
    <pivotField showAll="0"/>
    <pivotField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s>
  <rowFields count="1">
    <field x="1"/>
  </rowFields>
  <rowItems count="44">
    <i>
      <x/>
    </i>
    <i>
      <x v="1"/>
    </i>
    <i>
      <x v="2"/>
    </i>
    <i>
      <x v="3"/>
    </i>
    <i>
      <x v="4"/>
    </i>
    <i>
      <x v="5"/>
    </i>
    <i>
      <x v="6"/>
    </i>
    <i>
      <x v="7"/>
    </i>
    <i>
      <x v="8"/>
    </i>
    <i>
      <x v="9"/>
    </i>
    <i>
      <x v="10"/>
    </i>
    <i>
      <x v="11"/>
    </i>
    <i>
      <x v="12"/>
    </i>
    <i>
      <x v="13"/>
    </i>
    <i>
      <x v="14"/>
    </i>
    <i>
      <x v="15"/>
    </i>
    <i>
      <x v="16"/>
    </i>
    <i>
      <x v="17"/>
    </i>
    <i>
      <x v="18"/>
    </i>
    <i>
      <x v="19"/>
    </i>
    <i>
      <x v="20"/>
    </i>
    <i>
      <x v="21"/>
    </i>
    <i>
      <x v="22"/>
    </i>
    <i>
      <x v="23"/>
    </i>
    <i>
      <x v="25"/>
    </i>
    <i>
      <x v="26"/>
    </i>
    <i>
      <x v="27"/>
    </i>
    <i>
      <x v="28"/>
    </i>
    <i>
      <x v="29"/>
    </i>
    <i>
      <x v="30"/>
    </i>
    <i>
      <x v="31"/>
    </i>
    <i>
      <x v="32"/>
    </i>
    <i>
      <x v="33"/>
    </i>
    <i>
      <x v="34"/>
    </i>
    <i>
      <x v="35"/>
    </i>
    <i>
      <x v="36"/>
    </i>
    <i>
      <x v="37"/>
    </i>
    <i>
      <x v="38"/>
    </i>
    <i>
      <x v="39"/>
    </i>
    <i>
      <x v="40"/>
    </i>
    <i>
      <x v="41"/>
    </i>
    <i>
      <x v="42"/>
    </i>
    <i>
      <x v="43"/>
    </i>
    <i t="grand">
      <x/>
    </i>
  </rowItems>
  <colFields count="1">
    <field x="-2"/>
  </colFields>
  <colItems count="16">
    <i>
      <x/>
    </i>
    <i i="1">
      <x v="1"/>
    </i>
    <i i="2">
      <x v="2"/>
    </i>
    <i i="3">
      <x v="3"/>
    </i>
    <i i="4">
      <x v="4"/>
    </i>
    <i i="5">
      <x v="5"/>
    </i>
    <i i="6">
      <x v="6"/>
    </i>
    <i i="7">
      <x v="7"/>
    </i>
    <i i="8">
      <x v="8"/>
    </i>
    <i i="9">
      <x v="9"/>
    </i>
    <i i="10">
      <x v="10"/>
    </i>
    <i i="11">
      <x v="11"/>
    </i>
    <i i="12">
      <x v="12"/>
    </i>
    <i i="13">
      <x v="13"/>
    </i>
    <i i="14">
      <x v="14"/>
    </i>
    <i i="15">
      <x v="15"/>
    </i>
  </colItems>
  <dataFields count="16">
    <dataField name="Sum of IS_2021" fld="5" baseField="0" baseItem="0"/>
    <dataField name="Sum of IS_2022" fld="6" baseField="0" baseItem="0"/>
    <dataField name="Sum of IS_2023" fld="7" baseField="0" baseItem="0"/>
    <dataField name="Sum of IS_2030" fld="8" baseField="0" baseItem="0"/>
    <dataField name="Sum of IS_20212" fld="9" baseField="0" baseItem="0"/>
    <dataField name="Sum of IS_20222" fld="10" baseField="0" baseItem="0"/>
    <dataField name="Sum of IS_20232" fld="11" baseField="0" baseItem="0"/>
    <dataField name="Sum of IS_20302" fld="12" baseField="0" baseItem="0"/>
    <dataField name="Sum of SA_2021" fld="13" baseField="0" baseItem="0"/>
    <dataField name="Sum of SA_2022" fld="14" baseField="0" baseItem="0"/>
    <dataField name="Sum of SA_2023" fld="15" baseField="0" baseItem="0"/>
    <dataField name="Sum of SA_2030" fld="16" baseField="0" baseItem="0"/>
    <dataField name="Sum of BA_2021" fld="17" baseField="0" baseItem="0"/>
    <dataField name="Sum of BA_2022" fld="18" baseField="0" baseItem="0"/>
    <dataField name="Sum of BA_2023" fld="19" baseField="0" baseItem="0"/>
    <dataField name="Sum of BA_2030" fld="20"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B5" dT="2021-12-02T08:25:47.08" personId="{F403F69C-A6C0-4B0D-881D-AA56C08944B7}" id="{A526FDCF-488D-4607-9FC2-9B638DA79EF9}">
    <text>Atkritumu apsaimniekošanas valsts plāns 2021. – 2028.gadam, VARAM, 2021 (Ministru kabineta 2021. gada 22. janvāra rīkojums Nr. 45)</text>
  </threadedComment>
  <threadedComment ref="AB6" dT="2021-12-02T08:27:33.01" personId="{F403F69C-A6C0-4B0D-881D-AA56C08944B7}" id="{FA601C5C-F5CD-4923-AF90-9668BC0E159C}">
    <text>Atkritumu apsaimniekošanas valsts plāns 2021. – 2028.gadam, VARAM, 2021 (Ministru kabineta 2021. gada 22. janvāra rīkojums Nr. 45)</text>
  </threadedComment>
</ThreadedComments>
</file>

<file path=xl/threadedComments/threadedComment2.xml><?xml version="1.0" encoding="utf-8"?>
<ThreadedComments xmlns="http://schemas.microsoft.com/office/spreadsheetml/2018/threadedcomments" xmlns:x="http://schemas.openxmlformats.org/spreadsheetml/2006/main">
  <threadedComment ref="R2" dT="2021-12-02T06:49:00.23" personId="{F403F69C-A6C0-4B0D-881D-AA56C08944B7}" id="{68BA7D86-EDDE-402A-A208-151040A4FB1C}">
    <text>https://stat.gov.lv/lv/metadati/2403-iekszemes-kopprodukts-un-kopeja-pievienota-vertiba-regionos</text>
  </threadedComment>
  <threadedComment ref="A3" dT="2021-12-01T19:39:13.90" personId="{F403F69C-A6C0-4B0D-881D-AA56C08944B7}" id="{064ED312-945A-49E9-BF0A-4BAFD6CE128C}">
    <text>Ar melnu - vērtības no izmantotā informācijas avota;
Ar zaļu - aprēķinātās vērtības</text>
  </threadedComment>
  <threadedComment ref="A12" dT="2021-12-01T19:39:13.90" personId="{F403F69C-A6C0-4B0D-881D-AA56C08944B7}" id="{720E2BB3-AB1A-48EC-8042-5988A0416ED7}">
    <text>Ar melnu - vērtības no izmantotā informācijas avota;
Ar zaļu - aprēķinātās vērtības</text>
  </threadedComment>
  <threadedComment ref="A67" dT="2021-12-01T19:39:13.90" personId="{F403F69C-A6C0-4B0D-881D-AA56C08944B7}" id="{D5861D87-49C6-42F7-86B0-8242E2D663C7}">
    <text>Ar melnu - vērtības no izmantotā informācijas avota;
Ar zaļu - aprēķinātās vērtības</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1-11-30T17:35:51.63" personId="{F403F69C-A6C0-4B0D-881D-AA56C08944B7}" id="{6D9AFF0D-1D92-4587-8436-346BC4ACED50}">
    <text>https://www.varam.gov.lv/lv/informacija-par-43-jaunizveidojamam-pasvaldibam</text>
  </threadedComment>
  <threadedComment ref="C3" dT="2021-11-25T15:40:17.60" personId="{F403F69C-A6C0-4B0D-881D-AA56C08944B7}" id="{4C7039AD-2B3B-4F68-A49D-53201D051C9E}">
    <text>Ar zilu - dati no Atkritumu apsaimniekošanas valsts plāna 2021.- 2028.gadam 4.pielikuma, VARAM;
Ar zaļu - vidējā maksa pašvaldībās, kurās noteikti vairāki tarifi/darbojas atšķirīgi atkritumu apsaimniekošanas uzņēmumi</text>
  </threadedComment>
  <threadedComment ref="L3" dT="2021-11-29T13:40:07.97" personId="{F403F69C-A6C0-4B0D-881D-AA56C08944B7}" id="{E1F08BA8-2DCB-47BD-AC91-64DDC59594B2}">
    <text>https://www.vestnesis.lv/op/2017/103.9</text>
  </threadedComment>
  <threadedComment ref="P4" dT="2021-11-29T13:32:33.73" personId="{F403F69C-A6C0-4B0D-881D-AA56C08944B7}" id="{F5E21229-3E9C-4C8E-A232-EAC11AC965B7}">
    <text>Sabērtu, irdenu jauktu atkritumu blīvums atkarībā no sastāva ir robežās 100-200 kg/m3. Avots: Latvijas Vides aģentūra, ROKASGRĀMATA FAKTORU PIELIETOŠANAI SADZĪVES ATKRITUMU UZSKAITĒ, PĀREJOT NO TILPUMA UZ SVARA VIENĪBĀM, 2002.</text>
  </threadedComment>
  <threadedComment ref="P5" dT="2021-11-29T13:32:33.73" personId="{F403F69C-A6C0-4B0D-881D-AA56C08944B7}" id="{4D8458C2-723A-4055-8E51-52039BDE8014}">
    <text>400-500 kg/m3. Avots: Latvijas Vides aģentūra, ROKASGRĀMATA FAKTORU PIELIETOŠANAI SADZĪVES ATKRITUMU UZSKAITĒ, PĀREJOT NO TILPUMA UZ SVARA VIENĪBĀM, 2002.</text>
  </threadedComment>
  <threadedComment ref="P6" dT="2021-11-29T13:32:33.73" personId="{F403F69C-A6C0-4B0D-881D-AA56C08944B7}" id="{970CF2AA-B237-46E4-A242-67B74047472E}">
    <text>200-500 kg/m3. Avots: Latvijas Vides aģentūra, ROKASGRĀMATA FAKTORU PIELIETOŠANAI SADZĪVES ATKRITUMU UZSKAITĒ, PĀREJOT NO TILPUMA UZ SVARA VIENĪBĀM, 2002.</text>
  </threadedComment>
</ThreadedComments>
</file>

<file path=xl/threadedComments/threadedComment4.xml><?xml version="1.0" encoding="utf-8"?>
<ThreadedComments xmlns="http://schemas.microsoft.com/office/spreadsheetml/2018/threadedcomments" xmlns:x="http://schemas.openxmlformats.org/spreadsheetml/2006/main">
  <threadedComment ref="H5" dT="2021-12-06T08:47:45.58" personId="{F403F69C-A6C0-4B0D-881D-AA56C08944B7}" id="{FB6D376C-373A-4E4D-91EB-1B05E42A90A9}">
    <text>Atļauts kompostēt bioloģiski noārdāmos organiskos atkritumus līdz 20 731 t/gadā</text>
  </threadedComment>
  <threadedComment ref="H8" dT="2021-12-06T08:51:45.02" personId="{F403F69C-A6C0-4B0D-881D-AA56C08944B7}" id="{C7B767B8-2CBB-42F8-B150-97A6C43431F3}">
    <text>Šobrīd kompostēšanas laukums netiek izmantots, jo BNA tiek ievietoti reģenerācijai bioreaktorā, tādējādi ražojot biogāzi.</text>
  </threadedComment>
  <threadedComment ref="H9" dT="2021-12-06T08:51:22.84" personId="{F403F69C-A6C0-4B0D-881D-AA56C08944B7}" id="{2491E2E3-5661-48A1-98BF-B85B005DE7CD}">
    <text>Tā kā BNA tiek nogādāti reģenerācijai uz bioenerģijas šūnu, laukums pašreiz tiek izmantots kā būvniecības, ražošanas un tādu sadzīves atkritumu, ko nevar mehanizēti šķirot pagaidu uzglabāšanai un šķirošanai. Pēc BNA anaerobās fermentācijas iekārtu izveidošanas kompostēšanas laukums tiks integrēts BNA apsaimniekošanas tehnoloģiskajā procesā kā sagatavotā komposta pēcapstrādes un nobriedināšanas zona.</text>
  </threadedComment>
</ThreadedComments>
</file>

<file path=xl/threadedComments/threadedComment5.xml><?xml version="1.0" encoding="utf-8"?>
<ThreadedComments xmlns="http://schemas.microsoft.com/office/spreadsheetml/2018/threadedcomments" xmlns:x="http://schemas.openxmlformats.org/spreadsheetml/2006/main">
  <threadedComment ref="X5" dT="2021-12-02T08:25:47.08" personId="{F403F69C-A6C0-4B0D-881D-AA56C08944B7}" id="{BDDF505D-2EEB-497F-9D22-2F7916DE7089}">
    <text>Atkritumu apsaimniekošanas valsts plāns 2021. – 2028.gadam, VARAM, 2021 (Ministru kabineta 2021. gada 22. janvāra rīkojums Nr. 45)</text>
  </threadedComment>
  <threadedComment ref="X6" dT="2021-12-02T08:27:33.01" personId="{F403F69C-A6C0-4B0D-881D-AA56C08944B7}" id="{CC33C8B7-5C2B-4084-A190-A30FE19E0035}">
    <text>Atkritumu apsaimniekošanas valsts plāns 2021. – 2028.gadam, VARAM, 2021 (Ministru kabineta 2021. gada 22. janvāra rīkojums Nr. 45)</text>
  </threadedComment>
</ThreadedComments>
</file>

<file path=xl/threadedComments/threadedComment6.xml><?xml version="1.0" encoding="utf-8"?>
<ThreadedComments xmlns="http://schemas.microsoft.com/office/spreadsheetml/2018/threadedcomments" xmlns:x="http://schemas.openxmlformats.org/spreadsheetml/2006/main">
  <threadedComment ref="C2" dT="2021-12-06T07:54:29.22" personId="{F403F69C-A6C0-4B0D-881D-AA56C08944B7}" id="{48EEF76A-59A7-4F35-991D-665CBC7463E8}">
    <text>https://www.varam.gov.lv/lv/noteikumi-par-atkritumu-apsaimniekosanas-regioniem</text>
  </threadedComment>
</ThreadedComments>
</file>

<file path=xl/threadedComments/threadedComment7.xml><?xml version="1.0" encoding="utf-8"?>
<ThreadedComments xmlns="http://schemas.microsoft.com/office/spreadsheetml/2018/threadedcomments" xmlns:x="http://schemas.openxmlformats.org/spreadsheetml/2006/main">
  <threadedComment ref="D2" dT="2021-12-05T14:00:52.66" personId="{F403F69C-A6C0-4B0D-881D-AA56C08944B7}" id="{527FF1DC-56B0-4B84-94E0-01F22DA0AFA5}">
    <text>https://www.varam.gov.lv/lv/noteikumi-par-atkritumu-apsaimniekosanas-regioniem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7.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data.stat.gov.lv/pxweb/lv/OSP_PUB/START__POP__IR__IRS/IRS030/table/tableViewLayout1/" TargetMode="External"/><Relationship Id="rId13" Type="http://schemas.microsoft.com/office/2017/10/relationships/threadedComment" Target="../threadedComments/threadedComment2.xml"/><Relationship Id="rId3" Type="http://schemas.openxmlformats.org/officeDocument/2006/relationships/hyperlink" Target="https://data.stat.gov.lv/pxweb/lv/OSP_PUB/START__VEK__IK__IKP/IKP030/table/tableViewLayout1/" TargetMode="External"/><Relationship Id="rId7" Type="http://schemas.openxmlformats.org/officeDocument/2006/relationships/hyperlink" Target="https://data.stat.gov.lv/pxweb/lv/OSP_PUB/START__VEK__IK__IKR/IKR010/table/tableViewLayout1/" TargetMode="External"/><Relationship Id="rId12" Type="http://schemas.openxmlformats.org/officeDocument/2006/relationships/comments" Target="../comments3.xml"/><Relationship Id="rId2" Type="http://schemas.openxmlformats.org/officeDocument/2006/relationships/hyperlink" Target="https://data.stat.gov.lv/pxweb/lv/OSP_PUB/START__VEK__IK__IKP/IKP010/table/tableViewLayout1/" TargetMode="External"/><Relationship Id="rId1" Type="http://schemas.openxmlformats.org/officeDocument/2006/relationships/hyperlink" Target="https://data.stat.gov.lv/pxweb/lv/OSP_PUB/START__VEK__IK__IKP/IKP040/table/tableViewLayout1/" TargetMode="External"/><Relationship Id="rId6" Type="http://schemas.openxmlformats.org/officeDocument/2006/relationships/hyperlink" Target="https://data.stat.gov.lv/pxweb/lv/OSP_PUB/START__POP__IR__IRS/IRS030/table/tableViewLayout1/" TargetMode="External"/><Relationship Id="rId11" Type="http://schemas.openxmlformats.org/officeDocument/2006/relationships/vmlDrawing" Target="../drawings/vmlDrawing3.vml"/><Relationship Id="rId5" Type="http://schemas.openxmlformats.org/officeDocument/2006/relationships/hyperlink" Target="https://www.makroekonomika.lv/latvijas-banka-parskata-latvijas-makroekonomiskas-prognozes-0" TargetMode="External"/><Relationship Id="rId10" Type="http://schemas.openxmlformats.org/officeDocument/2006/relationships/drawing" Target="../drawings/drawing1.xml"/><Relationship Id="rId4" Type="http://schemas.openxmlformats.org/officeDocument/2006/relationships/hyperlink" Target="https://data.stat.gov.lv/pxweb/lv/OSP_PUB/START__VEK__IK__IKR/IKR010/table/tableViewLayout1/"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ec.europa.eu/eurostat/databrowser/view/env_wasmun/default/table?lang=en"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spaao.lv/lv/aktualitates/noslegt-ligumu-par-sa-izvesanu/aicinam-fiziskas-un-juridiskas-personas-parslegt-ligumus-par-sadzives-atkritumu-apsaimniekosanu-jekabpils-novada-/" TargetMode="External"/><Relationship Id="rId117" Type="http://schemas.openxmlformats.org/officeDocument/2006/relationships/hyperlink" Target="http://www.ous.lv/lv/atkritumu_apsaimniekosana/tari/" TargetMode="External"/><Relationship Id="rId21" Type="http://schemas.openxmlformats.org/officeDocument/2006/relationships/hyperlink" Target="https://www.zaao.lv/lv/privatpersonam/sadzives_atkritumu_maksa" TargetMode="External"/><Relationship Id="rId42" Type="http://schemas.openxmlformats.org/officeDocument/2006/relationships/hyperlink" Target="https://cleanr.lv/aktualitates/valdiba-un-saeima-lemusi-ka-jau-janvari-tiks-palielinats-dabas-resursu-nodoklis-par-neskirotu-atkritumu-apsaimniekosanu-palielinas-ari-tarifu-iedzivotajiem/" TargetMode="External"/><Relationship Id="rId47" Type="http://schemas.openxmlformats.org/officeDocument/2006/relationships/hyperlink" Target="https://cleanr.lv/aktualitates/valdiba-un-saeima-lemusi-ka-jau-janvari-tiks-palielinats-dabas-resursu-nodoklis-par-neskirotu-atkritumu-apsaimniekosanu-palielinas-ari-tarifu-iedzivotajiem/" TargetMode="External"/><Relationship Id="rId63" Type="http://schemas.openxmlformats.org/officeDocument/2006/relationships/hyperlink" Target="https://www.ekokurzeme.lv/lv/pakalpojumi/liguma-slegsana-skrunda/ek_ligums-skrunda/" TargetMode="External"/><Relationship Id="rId68" Type="http://schemas.openxmlformats.org/officeDocument/2006/relationships/hyperlink" Target="https://www.pilsetvide.lv/lv/informacija-klientiem/cesvaines-novads" TargetMode="External"/><Relationship Id="rId84" Type="http://schemas.openxmlformats.org/officeDocument/2006/relationships/hyperlink" Target="http://vlk.lv/sanitaras-tirisanas-iecirknis/norekinu-tarifi-un-rekviziti/" TargetMode="External"/><Relationship Id="rId89" Type="http://schemas.openxmlformats.org/officeDocument/2006/relationships/hyperlink" Target="https://www.kilupe.lv/pakalpojumi/skiroto-atkritumu-apsaimniekosana/bio-atkritumu-apsaimniekosana/" TargetMode="External"/><Relationship Id="rId112" Type="http://schemas.openxmlformats.org/officeDocument/2006/relationships/hyperlink" Target="http://www.pargaujasnovads.lv/?archive&amp;nid=4007&amp;yearID=2020&amp;monthID=12&amp;dayID=03" TargetMode="External"/><Relationship Id="rId16" Type="http://schemas.openxmlformats.org/officeDocument/2006/relationships/hyperlink" Target="https://www.zaao.lv/lv/privatpersonam/sadzives_atkritumu_maksa" TargetMode="External"/><Relationship Id="rId107" Type="http://schemas.openxmlformats.org/officeDocument/2006/relationships/hyperlink" Target="http://berzaunesku.lv/sadzives-atkritumi/" TargetMode="External"/><Relationship Id="rId11" Type="http://schemas.openxmlformats.org/officeDocument/2006/relationships/hyperlink" Target="https://www.zaao.lv/lv/privatpersonam/sadzives_atkritumu_maksa" TargetMode="External"/><Relationship Id="rId32" Type="http://schemas.openxmlformats.org/officeDocument/2006/relationships/hyperlink" Target="https://www.spaao.lv/lv/aktualitates/noslegt-ligumu-par-sa-izvesanu/aicinam-fiziskas-un-juridiskas-personas-parslegt-ligumus-par-sadzives-atkritumu-apsaimniekosanu-jekabpils-novada-/" TargetMode="External"/><Relationship Id="rId37" Type="http://schemas.openxmlformats.org/officeDocument/2006/relationships/hyperlink" Target="https://cleanr.lv/aktualitates/valdiba-un-saeima-lemusi-ka-jau-janvari-tiks-palielinats-dabas-resursu-nodoklis-par-neskirotu-atkritumu-apsaimniekosanu-palielinas-ari-tarifu-iedzivotajiem/" TargetMode="External"/><Relationship Id="rId53" Type="http://schemas.openxmlformats.org/officeDocument/2006/relationships/hyperlink" Target="https://www.ecobaltiavide.lv/blog/izmainas-sadzives-atkritumu-apsaimniekosanas-maksa-no-2021-gada-1-janvara/" TargetMode="External"/><Relationship Id="rId58" Type="http://schemas.openxmlformats.org/officeDocument/2006/relationships/hyperlink" Target="https://vpgrupa.lv/lv/pakalpojumi/sadzives-atkritumu-apsaimniekosana/" TargetMode="External"/><Relationship Id="rId74" Type="http://schemas.openxmlformats.org/officeDocument/2006/relationships/hyperlink" Target="http://www.aadso.lv/index.php?option=com_content&amp;view=article&amp;id=142&amp;Itemid=60" TargetMode="External"/><Relationship Id="rId79" Type="http://schemas.openxmlformats.org/officeDocument/2006/relationships/hyperlink" Target="http://alaas.lv/wp-content/uploads/2015/11/27.12.2018.valdes-lemums-Nr.3.pdf" TargetMode="External"/><Relationship Id="rId102" Type="http://schemas.openxmlformats.org/officeDocument/2006/relationships/hyperlink" Target="https://www.iecavasdzks.lv/index.php?id=97" TargetMode="External"/><Relationship Id="rId123" Type="http://schemas.openxmlformats.org/officeDocument/2006/relationships/hyperlink" Target="https://www.eis.gov.lv/EKEIS/Supplier/Procurement/34641" TargetMode="External"/><Relationship Id="rId5" Type="http://schemas.openxmlformats.org/officeDocument/2006/relationships/hyperlink" Target="https://www.krimulda.lv/atkritumu-apsaimniekosana/" TargetMode="External"/><Relationship Id="rId90" Type="http://schemas.openxmlformats.org/officeDocument/2006/relationships/hyperlink" Target="https://www.kilupe.lv/pakalpojumi/skiroto-atkritumu-apsaimniekosana/bio-atkritumu-apsaimniekosana/" TargetMode="External"/><Relationship Id="rId95" Type="http://schemas.openxmlformats.org/officeDocument/2006/relationships/hyperlink" Target="https://piejuraatkritumi.lv/pakalpojumi/sadzives-atkritumu-apsaimniekosana/nsa-savaksanas-maksa/" TargetMode="External"/><Relationship Id="rId22" Type="http://schemas.openxmlformats.org/officeDocument/2006/relationships/hyperlink" Target="https://www.zaao.lv/lv/privatpersonam/sadzives_atkritumu_maksa" TargetMode="External"/><Relationship Id="rId27" Type="http://schemas.openxmlformats.org/officeDocument/2006/relationships/hyperlink" Target="https://www.spaao.lv/lv/aktualitates/noslegt-ligumu-par-sa-izvesanu/aicinam-fiziskas-un-juridiskas-personas-parslegt-ligumus-par-sadzives-atkritumu-apsaimniekosanu-jekabpils-novada-/" TargetMode="External"/><Relationship Id="rId43" Type="http://schemas.openxmlformats.org/officeDocument/2006/relationships/hyperlink" Target="https://cleanr.lv/aktualitates/valdiba-un-saeima-lemusi-ka-jau-janvari-tiks-palielinats-dabas-resursu-nodoklis-par-neskirotu-atkritumu-apsaimniekosanu-palielinas-ari-tarifu-iedzivotajiem/" TargetMode="External"/><Relationship Id="rId48" Type="http://schemas.openxmlformats.org/officeDocument/2006/relationships/hyperlink" Target="https://cleanr.lv/aktualitates/valdiba-un-saeima-lemusi-ka-jau-janvari-tiks-palielinats-dabas-resursu-nodoklis-par-neskirotu-atkritumu-apsaimniekosanu-palielinas-ari-tarifu-iedzivotajiem/" TargetMode="External"/><Relationship Id="rId64" Type="http://schemas.openxmlformats.org/officeDocument/2006/relationships/hyperlink" Target="https://www.ekokurzeme.lv/lv/pakalpojumi/ligumu-slegsana-brocenu-novada/ek_ligums-broceni/" TargetMode="External"/><Relationship Id="rId69" Type="http://schemas.openxmlformats.org/officeDocument/2006/relationships/hyperlink" Target="https://www.pilsetvide.lv/lv/informacija-klientiem/erglu-novads" TargetMode="External"/><Relationship Id="rId113" Type="http://schemas.openxmlformats.org/officeDocument/2006/relationships/hyperlink" Target="http://www.pargaujasnovads.lv/?archive&amp;nid=4007&amp;yearID=2020&amp;monthID=12&amp;dayID=03" TargetMode="External"/><Relationship Id="rId118" Type="http://schemas.openxmlformats.org/officeDocument/2006/relationships/hyperlink" Target="http://www.preilusaimnieks.lv/lv/pakalpojumi/atkritumu-apsaimniekosana/atkritumu-izvesanas-un-konteineru-izcenojumi/" TargetMode="External"/><Relationship Id="rId80" Type="http://schemas.openxmlformats.org/officeDocument/2006/relationships/hyperlink" Target="http://alaas.lv/wp-content/uploads/2015/11/27.12.2018.valdes-lemums-Nr.3.pdf" TargetMode="External"/><Relationship Id="rId85" Type="http://schemas.openxmlformats.org/officeDocument/2006/relationships/hyperlink" Target="http://vlk.lv/sanitaras-tirisanas-iecirknis/norekinu-tarifi-un-rekviziti/" TargetMode="External"/><Relationship Id="rId12" Type="http://schemas.openxmlformats.org/officeDocument/2006/relationships/hyperlink" Target="https://www.zaao.lv/lv/privatpersonam/sadzives_atkritumu_maksa" TargetMode="External"/><Relationship Id="rId17" Type="http://schemas.openxmlformats.org/officeDocument/2006/relationships/hyperlink" Target="https://www.zaao.lv/lv/privatpersonam/sadzives_atkritumu_maksa" TargetMode="External"/><Relationship Id="rId33" Type="http://schemas.openxmlformats.org/officeDocument/2006/relationships/hyperlink" Target="https://www.jekabpils-pakalpojumi.lv/lv/pakalpojumi/atkritumu-apsaimniekosana/" TargetMode="External"/><Relationship Id="rId38" Type="http://schemas.openxmlformats.org/officeDocument/2006/relationships/hyperlink" Target="https://cleanr.lv/aktualitates/valdiba-un-saeima-lemusi-ka-jau-janvari-tiks-palielinats-dabas-resursu-nodoklis-par-neskirotu-atkritumu-apsaimniekosanu-palielinas-ari-tarifu-iedzivotajiem/" TargetMode="External"/><Relationship Id="rId59" Type="http://schemas.openxmlformats.org/officeDocument/2006/relationships/hyperlink" Target="https://vpgrupa.lv/lv/pakalpojumi/sadzives-atkritumu-apsaimniekosana/" TargetMode="External"/><Relationship Id="rId103" Type="http://schemas.openxmlformats.org/officeDocument/2006/relationships/hyperlink" Target="http://www.garkalnesks.lv/par-atkritumu-apsaimniekosanu/" TargetMode="External"/><Relationship Id="rId108" Type="http://schemas.openxmlformats.org/officeDocument/2006/relationships/hyperlink" Target="https://madonams.lv/pakalpojumi/atkritumi/" TargetMode="External"/><Relationship Id="rId124" Type="http://schemas.openxmlformats.org/officeDocument/2006/relationships/printerSettings" Target="../printerSettings/printerSettings6.bin"/><Relationship Id="rId54" Type="http://schemas.openxmlformats.org/officeDocument/2006/relationships/hyperlink" Target="https://www.ecobaltiavide.lv/blog/izmainas-sadzives-atkritumu-apsaimniekosanas-maksa-no-2021-gada-1-janvara/" TargetMode="External"/><Relationship Id="rId70" Type="http://schemas.openxmlformats.org/officeDocument/2006/relationships/hyperlink" Target="https://www.pilsetvide.lv/lv/informacija-klientiem/balvu-novads" TargetMode="External"/><Relationship Id="rId75" Type="http://schemas.openxmlformats.org/officeDocument/2006/relationships/hyperlink" Target="https://www.kkp.lv/pakalpojumi/atkritumu-apsaimniekosana/sadzives-atkritumi/" TargetMode="External"/><Relationship Id="rId91" Type="http://schemas.openxmlformats.org/officeDocument/2006/relationships/hyperlink" Target="http://www.videsserviss.lv/atkritumu-apsaimniekosanas-cenas" TargetMode="External"/><Relationship Id="rId96" Type="http://schemas.openxmlformats.org/officeDocument/2006/relationships/hyperlink" Target="https://piejuraatkritumi.lv/pakalpojumi/sadzives-atkritumu-apsaimniekosana/nsa-savaksanas-maksa/" TargetMode="External"/><Relationship Id="rId1" Type="http://schemas.openxmlformats.org/officeDocument/2006/relationships/hyperlink" Target="https://mvd.riga.lv/nozares/vides-parvalde/atkritumu-apsaimniekosana/" TargetMode="External"/><Relationship Id="rId6" Type="http://schemas.openxmlformats.org/officeDocument/2006/relationships/hyperlink" Target="https://www.zaao.lv/lv/privatpersonam/sadzives_atkritumu_maksa" TargetMode="External"/><Relationship Id="rId23" Type="http://schemas.openxmlformats.org/officeDocument/2006/relationships/hyperlink" Target="https://www.zaao.lv/lv/privatpersonam/sadzives_atkritumu_maksa" TargetMode="External"/><Relationship Id="rId28" Type="http://schemas.openxmlformats.org/officeDocument/2006/relationships/hyperlink" Target="https://www.spaao.lv/lv/aktualitates/noslegt-ligumu-par-sa-izvesanu/aicinam-fiziskas-un-juridiskas-personas-parslegt-ligumus-par-sadzives-atkritumu-apsaimniekosanu-jekabpils-novada-/" TargetMode="External"/><Relationship Id="rId49" Type="http://schemas.openxmlformats.org/officeDocument/2006/relationships/hyperlink" Target="https://cleanr.lv/aktualitates/valdiba-un-saeima-lemusi-ka-jau-janvari-tiks-palielinats-dabas-resursu-nodoklis-par-neskirotu-atkritumu-apsaimniekosanu-palielinas-ari-tarifu-iedzivotajiem/" TargetMode="External"/><Relationship Id="rId114" Type="http://schemas.openxmlformats.org/officeDocument/2006/relationships/hyperlink" Target="http://www.pargaujasnovads.lv/?archive&amp;nid=4007&amp;yearID=2020&amp;monthID=12&amp;dayID=03" TargetMode="External"/><Relationship Id="rId119" Type="http://schemas.openxmlformats.org/officeDocument/2006/relationships/hyperlink" Target="https://vilkme.lv/pakalpojumi/atkritumu-izvesana" TargetMode="External"/><Relationship Id="rId44" Type="http://schemas.openxmlformats.org/officeDocument/2006/relationships/hyperlink" Target="https://cleanr.lv/aktualitates/valdiba-un-saeima-lemusi-ka-jau-janvari-tiks-palielinats-dabas-resursu-nodoklis-par-neskirotu-atkritumu-apsaimniekosanu-palielinas-ari-tarifu-iedzivotajiem/" TargetMode="External"/><Relationship Id="rId60" Type="http://schemas.openxmlformats.org/officeDocument/2006/relationships/hyperlink" Target="https://www.ekokurzeme.lv/files/privatmaju_iedzivotajiem_un_juridiskam_personam_grobina.docx" TargetMode="External"/><Relationship Id="rId65" Type="http://schemas.openxmlformats.org/officeDocument/2006/relationships/hyperlink" Target="https://www.ekokurzeme.lv/files/privatmaju_un_juridisko_personu_sa_saldus_ligums_(1).docx" TargetMode="External"/><Relationship Id="rId81" Type="http://schemas.openxmlformats.org/officeDocument/2006/relationships/hyperlink" Target="http://alaas.lv/wp-content/uploads/2015/11/27.12.2018.valdes-lemums-Nr.3.pdf" TargetMode="External"/><Relationship Id="rId86" Type="http://schemas.openxmlformats.org/officeDocument/2006/relationships/hyperlink" Target="http://vlk.lv/sanitaras-tirisanas-iecirknis/norekinu-tarifi-un-rekviziti/" TargetMode="External"/><Relationship Id="rId13" Type="http://schemas.openxmlformats.org/officeDocument/2006/relationships/hyperlink" Target="https://www.zaao.lv/lv/privatpersonam/sadzives_atkritumu_maksa" TargetMode="External"/><Relationship Id="rId18" Type="http://schemas.openxmlformats.org/officeDocument/2006/relationships/hyperlink" Target="https://www.zaao.lv/lv/privatpersonam/sadzives_atkritumu_maksa" TargetMode="External"/><Relationship Id="rId39" Type="http://schemas.openxmlformats.org/officeDocument/2006/relationships/hyperlink" Target="https://cleanr.lv/aktualitates/valdiba-un-saeima-lemusi-ka-jau-janvari-tiks-palielinats-dabas-resursu-nodoklis-par-neskirotu-atkritumu-apsaimniekosanu-palielinas-ari-tarifu-iedzivotajiem/" TargetMode="External"/><Relationship Id="rId109" Type="http://schemas.openxmlformats.org/officeDocument/2006/relationships/hyperlink" Target="http://www.lubana.lv/index.php/lv/homepage-2/noderiga-informacija/161-atkritumu-izvesanas-grafiks" TargetMode="External"/><Relationship Id="rId34" Type="http://schemas.openxmlformats.org/officeDocument/2006/relationships/hyperlink" Target="https://www.jekabpils-pakalpojumi.lv/lv/aktualitates/atkritumu-savaksana-un-parvadasana/ka-mums-veicas-ar-biologiski-noardamo-atkritumu-skirosanu-/?origin=/lv/pakalpojumi/atkritumu-savaksana-un-parvadasana/" TargetMode="External"/><Relationship Id="rId50" Type="http://schemas.openxmlformats.org/officeDocument/2006/relationships/hyperlink" Target="https://www.ecobaltiavide.lv/blog/izmainas-sadzives-atkritumu-apsaimniekosanas-maksa-no-2021-gada-1-janvara/" TargetMode="External"/><Relationship Id="rId55" Type="http://schemas.openxmlformats.org/officeDocument/2006/relationships/hyperlink" Target="https://www.specatu.lv/lv/informacija-klientiem" TargetMode="External"/><Relationship Id="rId76" Type="http://schemas.openxmlformats.org/officeDocument/2006/relationships/hyperlink" Target="https://ludzaps.lv/tarifi/" TargetMode="External"/><Relationship Id="rId97" Type="http://schemas.openxmlformats.org/officeDocument/2006/relationships/hyperlink" Target="https://piejuraatkritumi.lv/pakalpojumi/sadzives-atkritumu-apsaimniekosana/nsa-savaksanas-maksa/" TargetMode="External"/><Relationship Id="rId104" Type="http://schemas.openxmlformats.org/officeDocument/2006/relationships/hyperlink" Target="http://www.garkalnesks.lv/par-atkritumu-apsaimniekosanu/kompostetaju-registracija/" TargetMode="External"/><Relationship Id="rId120" Type="http://schemas.openxmlformats.org/officeDocument/2006/relationships/hyperlink" Target="https://www.salasnovads.lv/lv/sia-vigants-/sia-vigants-pakalpojumi/" TargetMode="External"/><Relationship Id="rId125" Type="http://schemas.openxmlformats.org/officeDocument/2006/relationships/vmlDrawing" Target="../drawings/vmlDrawing4.vml"/><Relationship Id="rId7" Type="http://schemas.openxmlformats.org/officeDocument/2006/relationships/hyperlink" Target="https://www.zaao.lv/lv/privatpersonam/sadzives_atkritumu_maksa" TargetMode="External"/><Relationship Id="rId71" Type="http://schemas.openxmlformats.org/officeDocument/2006/relationships/hyperlink" Target="https://www.livani.lv/lv/atkritumu-apsaimniekosana" TargetMode="External"/><Relationship Id="rId92" Type="http://schemas.openxmlformats.org/officeDocument/2006/relationships/hyperlink" Target="http://www.videsserviss.lv/atkritumu-apsaimniekosanas-cenas" TargetMode="External"/><Relationship Id="rId2" Type="http://schemas.openxmlformats.org/officeDocument/2006/relationships/hyperlink" Target="https://mvd.riga.lv/nozares/vides-parvalde/atkritumu-apsaimniekosana/" TargetMode="External"/><Relationship Id="rId29" Type="http://schemas.openxmlformats.org/officeDocument/2006/relationships/hyperlink" Target="https://www.spaao.lv/lv/aktualitates/noslegt-ligumu-par-sa-izvesanu/aicinam-fiziskas-un-juridiskas-personas-parslegt-ligumus-par-sadzives-atkritumu-apsaimniekosanu-jekabpils-novada-/" TargetMode="External"/><Relationship Id="rId24" Type="http://schemas.openxmlformats.org/officeDocument/2006/relationships/hyperlink" Target="https://www.zaao.lv/lv/privatpersonam/sadzives_atkritumu_maksa" TargetMode="External"/><Relationship Id="rId40" Type="http://schemas.openxmlformats.org/officeDocument/2006/relationships/hyperlink" Target="https://cleanr.lv/aktualitates/valdiba-un-saeima-lemusi-ka-jau-janvari-tiks-palielinats-dabas-resursu-nodoklis-par-neskirotu-atkritumu-apsaimniekosanu-palielinas-ari-tarifu-iedzivotajiem/" TargetMode="External"/><Relationship Id="rId45" Type="http://schemas.openxmlformats.org/officeDocument/2006/relationships/hyperlink" Target="https://cleanr.lv/aktualitates/valdiba-un-saeima-lemusi-ka-jau-janvari-tiks-palielinats-dabas-resursu-nodoklis-par-neskirotu-atkritumu-apsaimniekosanu-palielinas-ari-tarifu-iedzivotajiem/" TargetMode="External"/><Relationship Id="rId66" Type="http://schemas.openxmlformats.org/officeDocument/2006/relationships/hyperlink" Target="https://www.pilsetvide.lv/lv/informacija-klientiem/aluksnes-novads" TargetMode="External"/><Relationship Id="rId87" Type="http://schemas.openxmlformats.org/officeDocument/2006/relationships/hyperlink" Target="https://kegumastars.lv/sadzives-atkritumu-apsaimniekosanas-tarifa-izmainas-ar-01-01-2020" TargetMode="External"/><Relationship Id="rId110" Type="http://schemas.openxmlformats.org/officeDocument/2006/relationships/hyperlink" Target="http://www.pargaujasnovads.lv/?archive&amp;nid=4007&amp;yearID=2020&amp;monthID=12&amp;dayID=03" TargetMode="External"/><Relationship Id="rId115" Type="http://schemas.openxmlformats.org/officeDocument/2006/relationships/hyperlink" Target="http://www.pargaujasnovads.lv/?archive&amp;nid=4007&amp;yearID=2020&amp;monthID=12&amp;dayID=03" TargetMode="External"/><Relationship Id="rId61" Type="http://schemas.openxmlformats.org/officeDocument/2006/relationships/hyperlink" Target="https://www.ekokurzeme.lv/files/privatmaju_iedzivotajiem_un_juridiskam_personam_aizpute.docx" TargetMode="External"/><Relationship Id="rId82" Type="http://schemas.openxmlformats.org/officeDocument/2006/relationships/hyperlink" Target="https://atkritumijkp.lv/pakalpojumi/sadzives-atkritumu-apsaimniekosana" TargetMode="External"/><Relationship Id="rId19" Type="http://schemas.openxmlformats.org/officeDocument/2006/relationships/hyperlink" Target="https://www.zaao.lv/lv/privatpersonam/sadzives_atkritumu_maksa" TargetMode="External"/><Relationship Id="rId14" Type="http://schemas.openxmlformats.org/officeDocument/2006/relationships/hyperlink" Target="https://www.zaao.lv/lv/privatpersonam/sadzives_atkritumu_maksa" TargetMode="External"/><Relationship Id="rId30" Type="http://schemas.openxmlformats.org/officeDocument/2006/relationships/hyperlink" Target="https://www.spaao.lv/lv/aktualitates/noslegt-ligumu-par-sa-izvesanu/aicinam-fiziskas-un-juridiskas-personas-parslegt-ligumus-par-sadzives-atkritumu-apsaimniekosanu-jekabpils-novada-/" TargetMode="External"/><Relationship Id="rId35" Type="http://schemas.openxmlformats.org/officeDocument/2006/relationships/hyperlink" Target="https://www.skriveri.lv/lv/par-atkritumu-apsaimniekosanu-jamaksa-vairak/" TargetMode="External"/><Relationship Id="rId56" Type="http://schemas.openxmlformats.org/officeDocument/2006/relationships/hyperlink" Target="https://www.eis.gov.lv/EKEIS/Supplier/Procurement/34641" TargetMode="External"/><Relationship Id="rId77" Type="http://schemas.openxmlformats.org/officeDocument/2006/relationships/hyperlink" Target="http://alaas.lv/wp-content/uploads/2015/11/27.12.2018.valdes-lemums-Nr.3.pdf" TargetMode="External"/><Relationship Id="rId100" Type="http://schemas.openxmlformats.org/officeDocument/2006/relationships/hyperlink" Target="https://piejuraatkritumi.lv/pakalpojumi/sadzives-atkritumu-apsaimniekosana/nsa-savaksanas-maksa/" TargetMode="External"/><Relationship Id="rId105" Type="http://schemas.openxmlformats.org/officeDocument/2006/relationships/hyperlink" Target="https://www.ekokurzeme.lv/lv/klientu-serviss/atkritumu-apsaimniekosanas-tarifi/" TargetMode="External"/><Relationship Id="rId126" Type="http://schemas.openxmlformats.org/officeDocument/2006/relationships/comments" Target="../comments4.xml"/><Relationship Id="rId8" Type="http://schemas.openxmlformats.org/officeDocument/2006/relationships/hyperlink" Target="https://www.zaao.lv/lv/privatpersonam/sadzives_atkritumu_maksa" TargetMode="External"/><Relationship Id="rId51" Type="http://schemas.openxmlformats.org/officeDocument/2006/relationships/hyperlink" Target="https://www.ecobaltiavide.lv/blog/izmainas-sadzives-atkritumu-apsaimniekosanas-maksa-no-2021-gada-1-janvara/" TargetMode="External"/><Relationship Id="rId72" Type="http://schemas.openxmlformats.org/officeDocument/2006/relationships/hyperlink" Target="http://www.aadso.lv/index.php?option=com_content&amp;view=article&amp;id=138&amp;Itemid=121" TargetMode="External"/><Relationship Id="rId93" Type="http://schemas.openxmlformats.org/officeDocument/2006/relationships/hyperlink" Target="https://www.dobeleskomunalie.lv/pakalpojumi/" TargetMode="External"/><Relationship Id="rId98" Type="http://schemas.openxmlformats.org/officeDocument/2006/relationships/hyperlink" Target="https://piejuraatkritumi.lv/pakalpojumi/sadzives-atkritumu-apsaimniekosana/nsa-savaksanas-maksa/" TargetMode="External"/><Relationship Id="rId121" Type="http://schemas.openxmlformats.org/officeDocument/2006/relationships/hyperlink" Target="https://vpgrupa.lv/lv/pakalpojumi/sadzives-atkritumu-apsaimniekosana/" TargetMode="External"/><Relationship Id="rId3" Type="http://schemas.openxmlformats.org/officeDocument/2006/relationships/hyperlink" Target="https://jumis.lv/wp-content/uploads/2021/03/JUMIS_pakalpojumu_cenradis_Malpils.pdf" TargetMode="External"/><Relationship Id="rId25" Type="http://schemas.openxmlformats.org/officeDocument/2006/relationships/hyperlink" Target="https://www.zaao.lv/lv/privatpersonam/sadzives_atkritumu_maksa" TargetMode="External"/><Relationship Id="rId46" Type="http://schemas.openxmlformats.org/officeDocument/2006/relationships/hyperlink" Target="https://cleanr.lv/aktualitates/valdiba-un-saeima-lemusi-ka-jau-janvari-tiks-palielinats-dabas-resursu-nodoklis-par-neskirotu-atkritumu-apsaimniekosanu-palielinas-ari-tarifu-iedzivotajiem/" TargetMode="External"/><Relationship Id="rId67" Type="http://schemas.openxmlformats.org/officeDocument/2006/relationships/hyperlink" Target="https://www.pilsetvide.lv/lv/informacija-klientiem/gulbenes-novads" TargetMode="External"/><Relationship Id="rId116" Type="http://schemas.openxmlformats.org/officeDocument/2006/relationships/hyperlink" Target="https://kraslava.lv/iedzivotajiem/sadzives-atkritumu-apsaimniekosana/maksa-par-atkritumu-apsaimniekosanu" TargetMode="External"/><Relationship Id="rId20" Type="http://schemas.openxmlformats.org/officeDocument/2006/relationships/hyperlink" Target="https://www.zaao.lv/lv/privatpersonam/sadzives_atkritumu_maksa" TargetMode="External"/><Relationship Id="rId41" Type="http://schemas.openxmlformats.org/officeDocument/2006/relationships/hyperlink" Target="https://cleanr.lv/aktualitates/valdiba-un-saeima-lemusi-ka-jau-janvari-tiks-palielinats-dabas-resursu-nodoklis-par-neskirotu-atkritumu-apsaimniekosanu-palielinas-ari-tarifu-iedzivotajiem/" TargetMode="External"/><Relationship Id="rId62" Type="http://schemas.openxmlformats.org/officeDocument/2006/relationships/hyperlink" Target="https://www.ekokurzeme.lv/files/privatmaju_iedzivotajiem_un_juridiskam_personam_pavilosta.docx" TargetMode="External"/><Relationship Id="rId83" Type="http://schemas.openxmlformats.org/officeDocument/2006/relationships/hyperlink" Target="https://drive.google.com/file/d/1_19gJPErYiU31O7rXMoCRj8JhXoC3PvS/view" TargetMode="External"/><Relationship Id="rId88" Type="http://schemas.openxmlformats.org/officeDocument/2006/relationships/hyperlink" Target="https://www.vestnesis.lv/op/2021/139.14" TargetMode="External"/><Relationship Id="rId111" Type="http://schemas.openxmlformats.org/officeDocument/2006/relationships/hyperlink" Target="http://www.pargaujasnovads.lv/?archive&amp;nid=4007&amp;yearID=2020&amp;monthID=12&amp;dayID=03" TargetMode="External"/><Relationship Id="rId15" Type="http://schemas.openxmlformats.org/officeDocument/2006/relationships/hyperlink" Target="https://www.zaao.lv/lv/privatpersonam/sadzives_atkritumu_maksa" TargetMode="External"/><Relationship Id="rId36" Type="http://schemas.openxmlformats.org/officeDocument/2006/relationships/hyperlink" Target="https://www.plavinunovads.lv/lv/sabiedriba/atkritumu-tarifa-izmainas-plavinu-novada" TargetMode="External"/><Relationship Id="rId57" Type="http://schemas.openxmlformats.org/officeDocument/2006/relationships/hyperlink" Target="https://vpgrupa.lv/lv/pakalpojumi/sadzives-atkritumu-apsaimniekosana/" TargetMode="External"/><Relationship Id="rId106" Type="http://schemas.openxmlformats.org/officeDocument/2006/relationships/hyperlink" Target="http://www.komunalie.lv/services/biologisko-atkritumu-izvesana" TargetMode="External"/><Relationship Id="rId127" Type="http://schemas.microsoft.com/office/2017/10/relationships/threadedComment" Target="../threadedComments/threadedComment3.xml"/><Relationship Id="rId10" Type="http://schemas.openxmlformats.org/officeDocument/2006/relationships/hyperlink" Target="https://www.zaao.lv/lv/privatpersonam/sadzives_atkritumu_maksa" TargetMode="External"/><Relationship Id="rId31" Type="http://schemas.openxmlformats.org/officeDocument/2006/relationships/hyperlink" Target="https://www.spaao.lv/lv/aktualitates/noslegt-ligumu-par-sa-izvesanu/aicinam-fiziskas-un-juridiskas-personas-parslegt-ligumus-par-sadzives-atkritumu-apsaimniekosanu-jekabpils-novada-/" TargetMode="External"/><Relationship Id="rId52" Type="http://schemas.openxmlformats.org/officeDocument/2006/relationships/hyperlink" Target="https://www.ecobaltiavide.lv/blog/izmainas-sadzives-atkritumu-apsaimniekosanas-maksa-no-2021-gada-1-janvara/" TargetMode="External"/><Relationship Id="rId73" Type="http://schemas.openxmlformats.org/officeDocument/2006/relationships/hyperlink" Target="http://www.aadso.lv/index.php?option=com_content&amp;view=article&amp;id=144&amp;Itemid=128" TargetMode="External"/><Relationship Id="rId78" Type="http://schemas.openxmlformats.org/officeDocument/2006/relationships/hyperlink" Target="http://alaas.lv/wp-content/uploads/2015/11/27.12.2018.valdes-lemums-Nr.3.pdf" TargetMode="External"/><Relationship Id="rId94" Type="http://schemas.openxmlformats.org/officeDocument/2006/relationships/hyperlink" Target="https://piejuraatkritumi.lv/pakalpojumi/sadzives-atkritumu-apsaimniekosana/nsa-savaksanas-maksa/" TargetMode="External"/><Relationship Id="rId99" Type="http://schemas.openxmlformats.org/officeDocument/2006/relationships/hyperlink" Target="https://piejuraatkritumi.lv/pakalpojumi/sadzives-atkritumu-apsaimniekosana/nsa-savaksanas-maksa/" TargetMode="External"/><Relationship Id="rId101" Type="http://schemas.openxmlformats.org/officeDocument/2006/relationships/hyperlink" Target="https://piejuraatkritumi.lv/pakalpojumi/sadzives-atkritumu-apsaimniekosana/nsa-savaksanas-maksa/" TargetMode="External"/><Relationship Id="rId122" Type="http://schemas.openxmlformats.org/officeDocument/2006/relationships/hyperlink" Target="https://www.ekokurzeme.lv/files/privatmaju_iedzivotajiem_un_juridiskam_personam_liepajas_pilseta.docx" TargetMode="External"/><Relationship Id="rId4" Type="http://schemas.openxmlformats.org/officeDocument/2006/relationships/hyperlink" Target="https://jumis.lv/wp-content/uploads/2021/03/JUMIS_pakalpojumu_cenradis_Sigulda.pdf" TargetMode="External"/><Relationship Id="rId9" Type="http://schemas.openxmlformats.org/officeDocument/2006/relationships/hyperlink" Target="https://www.zaao.lv/lv/privatpersonam/sadzives_atkritumu_maksa"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microsoft.com/office/2017/10/relationships/threadedComment" Target="../threadedComments/threadedComment5.xml"/><Relationship Id="rId2" Type="http://schemas.openxmlformats.org/officeDocument/2006/relationships/pivotTable" Target="../pivotTables/pivotTable4.xml"/><Relationship Id="rId1" Type="http://schemas.openxmlformats.org/officeDocument/2006/relationships/pivotTable" Target="../pivotTables/pivotTable3.xm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4.xml"/><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F00B-8DA4-4D0C-A5D5-F18AAF20893F}">
  <sheetPr>
    <tabColor rgb="FF92D050"/>
  </sheetPr>
  <dimension ref="A1:AC132"/>
  <sheetViews>
    <sheetView tabSelected="1" zoomScale="70" zoomScaleNormal="70" workbookViewId="0">
      <pane xSplit="1" ySplit="4" topLeftCell="B5" activePane="bottomRight" state="frozen"/>
      <selection pane="topRight" activeCell="B1" sqref="B1"/>
      <selection pane="bottomLeft" activeCell="A5" sqref="A5"/>
      <selection pane="bottomRight"/>
    </sheetView>
  </sheetViews>
  <sheetFormatPr defaultColWidth="8.90625" defaultRowHeight="13" outlineLevelRow="1" x14ac:dyDescent="0.3"/>
  <cols>
    <col min="1" max="1" width="27.81640625" style="108" customWidth="1"/>
    <col min="2" max="4" width="11.54296875" style="109" customWidth="1"/>
    <col min="5" max="7" width="11.54296875" style="110" customWidth="1"/>
    <col min="8" max="13" width="11.54296875" style="109" customWidth="1"/>
    <col min="14" max="15" width="19.453125" style="108" customWidth="1"/>
    <col min="16" max="18" width="11.54296875" style="108" customWidth="1"/>
    <col min="19" max="21" width="13.81640625" style="108" customWidth="1"/>
    <col min="22" max="24" width="11.54296875" style="108" customWidth="1"/>
    <col min="25" max="25" width="13.36328125" style="108" customWidth="1"/>
    <col min="26" max="26" width="13.36328125" style="108" hidden="1" customWidth="1"/>
    <col min="27" max="27" width="10" style="108" bestFit="1" customWidth="1"/>
    <col min="28" max="28" width="8" style="108" customWidth="1"/>
    <col min="29" max="29" width="67.90625" style="108" customWidth="1"/>
    <col min="30" max="16384" width="8.90625" style="108"/>
  </cols>
  <sheetData>
    <row r="1" spans="1:29" ht="26" x14ac:dyDescent="0.6">
      <c r="A1" s="39" t="s">
        <v>428</v>
      </c>
      <c r="H1" s="111"/>
      <c r="I1" s="112"/>
    </row>
    <row r="2" spans="1:29" ht="14.5" x14ac:dyDescent="0.35">
      <c r="H2" s="111"/>
      <c r="I2" s="112"/>
      <c r="J2" s="112"/>
      <c r="P2" s="81"/>
      <c r="Q2" s="81"/>
    </row>
    <row r="3" spans="1:29" s="142" customFormat="1" ht="55.25" customHeight="1" x14ac:dyDescent="0.35">
      <c r="A3" s="205" t="s">
        <v>429</v>
      </c>
      <c r="B3" s="209" t="s">
        <v>0</v>
      </c>
      <c r="C3" s="209"/>
      <c r="D3" s="209"/>
      <c r="E3" s="211" t="s">
        <v>305</v>
      </c>
      <c r="F3" s="211"/>
      <c r="G3" s="211"/>
      <c r="H3" s="210" t="s">
        <v>420</v>
      </c>
      <c r="I3" s="210"/>
      <c r="J3" s="210"/>
      <c r="K3" s="210" t="s">
        <v>421</v>
      </c>
      <c r="L3" s="210"/>
      <c r="M3" s="210"/>
      <c r="N3" s="120" t="s">
        <v>422</v>
      </c>
      <c r="O3" s="120" t="s">
        <v>423</v>
      </c>
      <c r="P3" s="208" t="s">
        <v>424</v>
      </c>
      <c r="Q3" s="208"/>
      <c r="R3" s="208"/>
      <c r="S3" s="208" t="s">
        <v>425</v>
      </c>
      <c r="T3" s="208"/>
      <c r="U3" s="208"/>
      <c r="V3" s="208" t="s">
        <v>426</v>
      </c>
      <c r="W3" s="208"/>
      <c r="X3" s="208"/>
      <c r="Y3" s="141" t="s">
        <v>427</v>
      </c>
      <c r="Z3" s="141" t="s">
        <v>354</v>
      </c>
      <c r="AB3" s="207" t="s">
        <v>341</v>
      </c>
      <c r="AC3" s="207"/>
    </row>
    <row r="4" spans="1:29" x14ac:dyDescent="0.3">
      <c r="A4" s="206"/>
      <c r="B4" s="122">
        <v>2021</v>
      </c>
      <c r="C4" s="122">
        <v>2022</v>
      </c>
      <c r="D4" s="122">
        <v>2023</v>
      </c>
      <c r="E4" s="123">
        <v>2021</v>
      </c>
      <c r="F4" s="123">
        <v>2022</v>
      </c>
      <c r="G4" s="123">
        <v>2023</v>
      </c>
      <c r="H4" s="122">
        <v>2021</v>
      </c>
      <c r="I4" s="122">
        <v>2022</v>
      </c>
      <c r="J4" s="122">
        <v>2023</v>
      </c>
      <c r="K4" s="122">
        <v>2021</v>
      </c>
      <c r="L4" s="122">
        <v>2022</v>
      </c>
      <c r="M4" s="122">
        <v>2023</v>
      </c>
      <c r="N4" s="122">
        <v>2021</v>
      </c>
      <c r="O4" s="122">
        <v>2021</v>
      </c>
      <c r="P4" s="122">
        <v>2021</v>
      </c>
      <c r="Q4" s="122">
        <v>2022</v>
      </c>
      <c r="R4" s="122">
        <v>2023</v>
      </c>
      <c r="S4" s="122">
        <v>2021</v>
      </c>
      <c r="T4" s="122">
        <v>2022</v>
      </c>
      <c r="U4" s="122">
        <v>2023</v>
      </c>
      <c r="V4" s="122">
        <v>2021</v>
      </c>
      <c r="W4" s="122">
        <v>2022</v>
      </c>
      <c r="X4" s="122">
        <v>2023</v>
      </c>
      <c r="Y4" s="124" t="s">
        <v>355</v>
      </c>
      <c r="Z4" s="124" t="s">
        <v>355</v>
      </c>
      <c r="AB4" s="207"/>
      <c r="AC4" s="207"/>
    </row>
    <row r="5" spans="1:29" s="113" customFormat="1" ht="18.5" x14ac:dyDescent="0.45">
      <c r="A5" s="98" t="s">
        <v>306</v>
      </c>
      <c r="B5" s="125">
        <f>SUM(B6:B124)</f>
        <v>1893223</v>
      </c>
      <c r="C5" s="125">
        <f>SUM(C6:C124)</f>
        <v>1876426</v>
      </c>
      <c r="D5" s="125">
        <f>SUM(D6:D124)</f>
        <v>1859631</v>
      </c>
      <c r="E5" s="126">
        <f>IKP!J5</f>
        <v>31075056.674999997</v>
      </c>
      <c r="F5" s="126">
        <f>IKP!K5</f>
        <v>32659884.565424994</v>
      </c>
      <c r="G5" s="126">
        <f>IKP!L5</f>
        <v>33900960.178911142</v>
      </c>
      <c r="H5" s="127">
        <f>((-0.0000000006)*IKP!$J$5 + 0.0461)*E5</f>
        <v>853164.62430482276</v>
      </c>
      <c r="I5" s="127">
        <f>((-0.0000000006)*IKP!$K$5 + 0.0461)*F5</f>
        <v>865619.84256996086</v>
      </c>
      <c r="J5" s="127">
        <f>((-0.0000000006)*IKP!$L$5 + 0.0461)*G5</f>
        <v>873269.20361653226</v>
      </c>
      <c r="K5" s="127">
        <f t="shared" ref="K5:K36" si="0">H5*$AB$6*$AB$5</f>
        <v>204759.50983315747</v>
      </c>
      <c r="L5" s="127">
        <f t="shared" ref="L5:L36" si="1">I5*$AB$6*$AB$5</f>
        <v>207748.76221679061</v>
      </c>
      <c r="M5" s="127">
        <f t="shared" ref="M5:M36" si="2">J5*$AB$6*$AB$5</f>
        <v>209584.60886796776</v>
      </c>
      <c r="N5" s="128" t="s">
        <v>333</v>
      </c>
      <c r="O5" s="128" t="s">
        <v>333</v>
      </c>
      <c r="P5" s="129">
        <f t="shared" ref="P5:X5" si="3">SUM(P7:P129)</f>
        <v>44882883.69107838</v>
      </c>
      <c r="Q5" s="129">
        <f t="shared" si="3"/>
        <v>45530225.155958757</v>
      </c>
      <c r="R5" s="129">
        <f t="shared" si="3"/>
        <v>45924499.383549988</v>
      </c>
      <c r="S5" s="129">
        <f t="shared" si="3"/>
        <v>35025083.223782383</v>
      </c>
      <c r="T5" s="129">
        <f t="shared" si="3"/>
        <v>35528974.483118668</v>
      </c>
      <c r="U5" s="129">
        <f t="shared" si="3"/>
        <v>35835344.003276102</v>
      </c>
      <c r="V5" s="129">
        <f t="shared" si="3"/>
        <v>9857800.4672960006</v>
      </c>
      <c r="W5" s="129">
        <f t="shared" si="3"/>
        <v>10001250.672840113</v>
      </c>
      <c r="X5" s="129">
        <f t="shared" si="3"/>
        <v>10089155.380273884</v>
      </c>
      <c r="Y5" s="143">
        <f>SUM(V5:X5)</f>
        <v>29948206.520410001</v>
      </c>
      <c r="Z5" s="130">
        <f>V5/B5+W5/C5+X5/D5</f>
        <v>15.962188346383718</v>
      </c>
      <c r="AB5" s="140">
        <v>0.6</v>
      </c>
      <c r="AC5" s="23" t="s">
        <v>430</v>
      </c>
    </row>
    <row r="6" spans="1:29" s="115" customFormat="1" ht="14.5" x14ac:dyDescent="0.35">
      <c r="A6" s="131" t="s">
        <v>1</v>
      </c>
      <c r="B6" s="132">
        <f>VLOOKUP(A6,Iedz_sk!$B$5:$Y$123,15,FALSE)</f>
        <v>614618</v>
      </c>
      <c r="C6" s="132">
        <f>VLOOKUP(A6,Iedz_sk!$B$5:$Y$123,16,FALSE)</f>
        <v>615772</v>
      </c>
      <c r="D6" s="132">
        <f>VLOOKUP(A6,Iedz_sk!$B$5:$Y$123,17,FALSE)</f>
        <v>616925</v>
      </c>
      <c r="E6" s="133">
        <f>VLOOKUP($A6,IKP!$Q$6:$AC$124,11,FALSE)</f>
        <v>17476089.690851513</v>
      </c>
      <c r="F6" s="133">
        <f>VLOOKUP($A6,IKP!$Q$6:$AC$124,12,FALSE)</f>
        <v>18367370.265084941</v>
      </c>
      <c r="G6" s="133">
        <f>VLOOKUP($A6,IKP!$Q$6:$AC$124,13,FALSE)</f>
        <v>19065330.335158169</v>
      </c>
      <c r="H6" s="134">
        <f>((-0.0000000006)*IKP!$J$5 + 0.0461)*E6</f>
        <v>479805.44818789844</v>
      </c>
      <c r="I6" s="134">
        <f>((-0.0000000006)*IKP!$K$5 + 0.0461)*F6</f>
        <v>486810.05364355963</v>
      </c>
      <c r="J6" s="134">
        <f>((-0.0000000006)*IKP!$L$5 + 0.0461)*G6</f>
        <v>491111.92575680139</v>
      </c>
      <c r="K6" s="134">
        <f>H6*$AB$6*$AB$5</f>
        <v>115153.30756509562</v>
      </c>
      <c r="L6" s="134">
        <f t="shared" si="1"/>
        <v>116834.41287445431</v>
      </c>
      <c r="M6" s="134">
        <f t="shared" si="2"/>
        <v>117866.86218163234</v>
      </c>
      <c r="N6" s="135">
        <f>VLOOKUP(A6,NSAmaksa_2021!$A$4:$N$138,12,FALSE)</f>
        <v>79.75</v>
      </c>
      <c r="O6" s="135">
        <f>VLOOKUP(A6,NSAmaksa_2021!$A$4:$N$138,14,FALSE)</f>
        <v>32.391666666666666</v>
      </c>
      <c r="P6" s="134">
        <f t="shared" ref="P6:P37" si="4">H6*$AB$5*$N6</f>
        <v>22958690.695790939</v>
      </c>
      <c r="Q6" s="134">
        <f t="shared" ref="Q6:Q37" si="5">I6*$AB$5*$N6</f>
        <v>23293861.066844326</v>
      </c>
      <c r="R6" s="134">
        <f t="shared" ref="R6:R37" si="6">J6*$AB$5*$N6</f>
        <v>23499705.647462945</v>
      </c>
      <c r="S6" s="134">
        <f t="shared" ref="S6:S37" si="7">H6*$AB$5*(1-$AB$6)*$N6+K6*$O6</f>
        <v>17505221.971687287</v>
      </c>
      <c r="T6" s="134">
        <f t="shared" ref="T6:T37" si="8">I6*$AB$5*(1-$AB$6)*$N6+L6*$O6</f>
        <v>17760777.997131627</v>
      </c>
      <c r="U6" s="134">
        <f t="shared" ref="U6:U37" si="9">J6*$AB$5*(1-$AB$6)*$N6+M6*$O6</f>
        <v>17917727.499311142</v>
      </c>
      <c r="V6" s="134">
        <f>P6-S6</f>
        <v>5453468.7241036519</v>
      </c>
      <c r="W6" s="134">
        <f t="shared" ref="W6" si="10">Q6-T6</f>
        <v>5533083.0697126985</v>
      </c>
      <c r="X6" s="134">
        <f t="shared" ref="X6:X7" si="11">R6-U6</f>
        <v>5581978.1481518038</v>
      </c>
      <c r="Y6" s="134">
        <f t="shared" ref="Y6:Y7" si="12">SUM(V6:X6)</f>
        <v>16568529.941968154</v>
      </c>
      <c r="Z6" s="136">
        <f t="shared" ref="Z6:Z7" si="13">V6/B6+W6/C6+X6/D6</f>
        <v>26.906609743112259</v>
      </c>
      <c r="AB6" s="140">
        <v>0.4</v>
      </c>
      <c r="AC6" s="23" t="s">
        <v>340</v>
      </c>
    </row>
    <row r="7" spans="1:29" outlineLevel="1" x14ac:dyDescent="0.3">
      <c r="A7" s="98" t="s">
        <v>2</v>
      </c>
      <c r="B7" s="132">
        <f>VLOOKUP(A7,Iedz_sk!$B$5:$Y$123,15,FALSE)</f>
        <v>80627</v>
      </c>
      <c r="C7" s="132">
        <f>VLOOKUP(A7,Iedz_sk!$B$5:$Y$123,16,FALSE)</f>
        <v>79117</v>
      </c>
      <c r="D7" s="132">
        <f>VLOOKUP(A7,Iedz_sk!$B$5:$Y$123,17,FALSE)</f>
        <v>77607</v>
      </c>
      <c r="E7" s="133">
        <f>VLOOKUP($A7,IKP!$Q$6:$AC$124,11,FALSE)</f>
        <v>738858.72397600824</v>
      </c>
      <c r="F7" s="133">
        <f>VLOOKUP($A7,IKP!$Q$6:$AC$124,12,FALSE)</f>
        <v>776540.51889878465</v>
      </c>
      <c r="G7" s="133">
        <f>VLOOKUP($A7,IKP!$Q$6:$AC$124,13,FALSE)</f>
        <v>806049.05861693854</v>
      </c>
      <c r="H7" s="132">
        <f>((-0.0000000006)*IKP!$J$5 + 0.0461)*E7</f>
        <v>20285.341141870402</v>
      </c>
      <c r="I7" s="132">
        <f>((-0.0000000006)*IKP!$K$5 + 0.0461)*F7</f>
        <v>20581.483696668256</v>
      </c>
      <c r="J7" s="132">
        <f>((-0.0000000006)*IKP!$L$5 + 0.0461)*G7</f>
        <v>20763.359379187881</v>
      </c>
      <c r="K7" s="132">
        <f>H7*$AB$6*$AB$5</f>
        <v>4868.4818740488963</v>
      </c>
      <c r="L7" s="132">
        <f t="shared" si="1"/>
        <v>4939.5560872003816</v>
      </c>
      <c r="M7" s="132">
        <f t="shared" si="2"/>
        <v>4983.2062510050919</v>
      </c>
      <c r="N7" s="137">
        <f>VLOOKUP(A7,NSAmaksa_2021!$A$4:$N$138,12,FALSE)</f>
        <v>58.6</v>
      </c>
      <c r="O7" s="137">
        <f>VLOOKUP(A7,NSAmaksa_2021!$A$4:$N$138,14,FALSE)</f>
        <v>27.346666666666668</v>
      </c>
      <c r="P7" s="132">
        <f t="shared" si="4"/>
        <v>713232.59454816335</v>
      </c>
      <c r="Q7" s="132">
        <f>I7*$AB$5*$N7</f>
        <v>723644.96677485586</v>
      </c>
      <c r="R7" s="132">
        <f>J7*$AB$5*$N7</f>
        <v>730039.71577224589</v>
      </c>
      <c r="S7" s="132">
        <f>H7*$AB$5*(1-$AB$6)*$N7+K7*$O7</f>
        <v>561076.30771122174</v>
      </c>
      <c r="T7" s="132">
        <f t="shared" si="8"/>
        <v>569267.37386288657</v>
      </c>
      <c r="U7" s="132">
        <f t="shared" si="9"/>
        <v>574297.90974083345</v>
      </c>
      <c r="V7" s="132">
        <f t="shared" ref="V7" si="14">P7-S7</f>
        <v>152156.28683694161</v>
      </c>
      <c r="W7" s="132">
        <f>Q7-T7</f>
        <v>154377.59291196929</v>
      </c>
      <c r="X7" s="132">
        <f t="shared" si="11"/>
        <v>155741.80603141245</v>
      </c>
      <c r="Y7" s="132">
        <f t="shared" si="12"/>
        <v>462275.68578032334</v>
      </c>
      <c r="Z7" s="138">
        <f t="shared" si="13"/>
        <v>5.8452208660350493</v>
      </c>
    </row>
    <row r="8" spans="1:29" outlineLevel="1" x14ac:dyDescent="0.3">
      <c r="A8" s="98" t="s">
        <v>3</v>
      </c>
      <c r="B8" s="132">
        <f>VLOOKUP(A8,Iedz_sk!$B$5:$Y$123,15,FALSE)</f>
        <v>21629</v>
      </c>
      <c r="C8" s="132">
        <f>VLOOKUP(A8,Iedz_sk!$B$5:$Y$123,16,FALSE)</f>
        <v>21261</v>
      </c>
      <c r="D8" s="132">
        <f>VLOOKUP(A8,Iedz_sk!$B$5:$Y$123,17,FALSE)</f>
        <v>20893</v>
      </c>
      <c r="E8" s="133">
        <f>VLOOKUP($A8,IKP!$Q$6:$AC$124,11,FALSE)</f>
        <v>249971.80159214966</v>
      </c>
      <c r="F8" s="133">
        <f>VLOOKUP($A8,IKP!$Q$6:$AC$124,12,FALSE)</f>
        <v>262720.36347334925</v>
      </c>
      <c r="G8" s="133">
        <f>VLOOKUP($A8,IKP!$Q$6:$AC$124,13,FALSE)</f>
        <v>272703.73728533654</v>
      </c>
      <c r="H8" s="132">
        <f>((-0.0000000006)*IKP!$J$5 + 0.0461)*E8</f>
        <v>6862.9673124213568</v>
      </c>
      <c r="I8" s="132">
        <f>((-0.0000000006)*IKP!$K$5 + 0.0461)*F8</f>
        <v>6963.1587097057509</v>
      </c>
      <c r="J8" s="132">
        <f>((-0.0000000006)*IKP!$L$5 + 0.0461)*G8</f>
        <v>7024.6911658437512</v>
      </c>
      <c r="K8" s="132">
        <f t="shared" si="0"/>
        <v>1647.1121549811257</v>
      </c>
      <c r="L8" s="132">
        <f t="shared" si="1"/>
        <v>1671.1580903293802</v>
      </c>
      <c r="M8" s="132">
        <f t="shared" si="2"/>
        <v>1685.9258798025003</v>
      </c>
      <c r="N8" s="137">
        <f>VLOOKUP(A8,NSAmaksa_2021!$A$4:$N$138,12,FALSE)</f>
        <v>117.15</v>
      </c>
      <c r="O8" s="137">
        <f>VLOOKUP(A8,NSAmaksa_2021!$A$4:$N$138,14,FALSE)</f>
        <v>54.67</v>
      </c>
      <c r="P8" s="132">
        <f t="shared" si="4"/>
        <v>482397.97239009716</v>
      </c>
      <c r="Q8" s="132">
        <f t="shared" si="5"/>
        <v>489440.42570521723</v>
      </c>
      <c r="R8" s="132">
        <f t="shared" si="6"/>
        <v>493765.5420471573</v>
      </c>
      <c r="S8" s="132">
        <f t="shared" si="7"/>
        <v>379486.4049468764</v>
      </c>
      <c r="T8" s="132">
        <f t="shared" si="8"/>
        <v>385026.46822143754</v>
      </c>
      <c r="U8" s="132">
        <f t="shared" si="9"/>
        <v>388428.89307709702</v>
      </c>
      <c r="V8" s="132">
        <f t="shared" ref="V8:V71" si="15">P8-S8</f>
        <v>102911.56744322076</v>
      </c>
      <c r="W8" s="132">
        <f t="shared" ref="W8:W71" si="16">Q8-T8</f>
        <v>104413.9574837797</v>
      </c>
      <c r="X8" s="132">
        <f t="shared" ref="X8:X71" si="17">R8-U8</f>
        <v>105336.64897006028</v>
      </c>
      <c r="Y8" s="132">
        <f t="shared" ref="Y8:Y71" si="18">SUM(V8:X8)</f>
        <v>312662.17389706074</v>
      </c>
      <c r="Z8" s="138">
        <f t="shared" ref="Z8:Z71" si="19">V8/B8+W8/C8+X8/D8</f>
        <v>14.710811785440939</v>
      </c>
    </row>
    <row r="9" spans="1:29" outlineLevel="1" x14ac:dyDescent="0.3">
      <c r="A9" s="98" t="s">
        <v>4</v>
      </c>
      <c r="B9" s="132">
        <f>VLOOKUP(A9,Iedz_sk!$B$5:$Y$123,15,FALSE)</f>
        <v>50248</v>
      </c>
      <c r="C9" s="132">
        <f>VLOOKUP(A9,Iedz_sk!$B$5:$Y$123,16,FALSE)</f>
        <v>49821</v>
      </c>
      <c r="D9" s="132">
        <f>VLOOKUP(A9,Iedz_sk!$B$5:$Y$123,17,FALSE)</f>
        <v>49394</v>
      </c>
      <c r="E9" s="133">
        <f>VLOOKUP($A9,IKP!$Q$6:$AC$124,11,FALSE)</f>
        <v>449115.7015194947</v>
      </c>
      <c r="F9" s="133">
        <f>VLOOKUP($A9,IKP!$Q$6:$AC$124,12,FALSE)</f>
        <v>472020.60229698889</v>
      </c>
      <c r="G9" s="133">
        <f>VLOOKUP($A9,IKP!$Q$6:$AC$124,13,FALSE)</f>
        <v>489957.38518427446</v>
      </c>
      <c r="H9" s="132">
        <f>((-0.0000000006)*IKP!$J$5 + 0.0461)*E9</f>
        <v>12330.456313038299</v>
      </c>
      <c r="I9" s="132">
        <f>((-0.0000000006)*IKP!$K$5 + 0.0461)*F9</f>
        <v>12510.466735777967</v>
      </c>
      <c r="J9" s="132">
        <f>((-0.0000000006)*IKP!$L$5 + 0.0461)*G9</f>
        <v>12621.019974297744</v>
      </c>
      <c r="K9" s="132">
        <f>H9*$AB$6*$AB$5</f>
        <v>2959.3095151291923</v>
      </c>
      <c r="L9" s="132">
        <f t="shared" si="1"/>
        <v>3002.5120165867124</v>
      </c>
      <c r="M9" s="132">
        <f t="shared" si="2"/>
        <v>3029.0447938314587</v>
      </c>
      <c r="N9" s="137">
        <f>VLOOKUP(A9,NSAmaksa_2021!$A$4:$N$138,12,FALSE)</f>
        <v>125.86</v>
      </c>
      <c r="O9" s="137">
        <f>VLOOKUP(A9,NSAmaksa_2021!$A$4:$N$138,14,FALSE)</f>
        <v>88.10199999999999</v>
      </c>
      <c r="P9" s="132">
        <f t="shared" si="4"/>
        <v>931146.73893540015</v>
      </c>
      <c r="Q9" s="132">
        <f t="shared" si="5"/>
        <v>944740.40601900895</v>
      </c>
      <c r="R9" s="132">
        <f t="shared" si="6"/>
        <v>953088.94437906845</v>
      </c>
      <c r="S9" s="132">
        <f t="shared" si="7"/>
        <v>819409.13026315207</v>
      </c>
      <c r="T9" s="132">
        <f t="shared" si="8"/>
        <v>831371.5572967279</v>
      </c>
      <c r="U9" s="132">
        <f t="shared" si="9"/>
        <v>838718.2710535801</v>
      </c>
      <c r="V9" s="132">
        <f t="shared" si="15"/>
        <v>111737.60867224808</v>
      </c>
      <c r="W9" s="132">
        <f t="shared" si="16"/>
        <v>113368.84872228105</v>
      </c>
      <c r="X9" s="132">
        <f t="shared" si="17"/>
        <v>114370.67332548834</v>
      </c>
      <c r="Y9" s="132">
        <f t="shared" si="18"/>
        <v>339477.13072001748</v>
      </c>
      <c r="Z9" s="138">
        <f t="shared" si="19"/>
        <v>6.8147229061635404</v>
      </c>
    </row>
    <row r="10" spans="1:29" outlineLevel="1" x14ac:dyDescent="0.3">
      <c r="A10" s="98" t="s">
        <v>5</v>
      </c>
      <c r="B10" s="132">
        <f>VLOOKUP(A10,Iedz_sk!$B$5:$Y$123,15,FALSE)</f>
        <v>55336</v>
      </c>
      <c r="C10" s="132">
        <f>VLOOKUP(A10,Iedz_sk!$B$5:$Y$123,16,FALSE)</f>
        <v>54885</v>
      </c>
      <c r="D10" s="132">
        <f>VLOOKUP(A10,Iedz_sk!$B$5:$Y$123,17,FALSE)</f>
        <v>54435</v>
      </c>
      <c r="E10" s="133">
        <f>VLOOKUP($A10,IKP!$Q$6:$AC$124,11,FALSE)</f>
        <v>621956.14901143278</v>
      </c>
      <c r="F10" s="133">
        <f>VLOOKUP($A10,IKP!$Q$6:$AC$124,12,FALSE)</f>
        <v>653675.91261101584</v>
      </c>
      <c r="G10" s="133">
        <f>VLOOKUP($A10,IKP!$Q$6:$AC$124,13,FALSE)</f>
        <v>678515.59729023441</v>
      </c>
      <c r="H10" s="132">
        <f>((-0.0000000006)*IKP!$J$5 + 0.0461)*E10</f>
        <v>17075.784921490042</v>
      </c>
      <c r="I10" s="132">
        <f>((-0.0000000006)*IKP!$K$5 + 0.0461)*F10</f>
        <v>17325.071661923066</v>
      </c>
      <c r="J10" s="132">
        <f>((-0.0000000006)*IKP!$L$5 + 0.0461)*G10</f>
        <v>17478.170888376</v>
      </c>
      <c r="K10" s="132">
        <f t="shared" si="0"/>
        <v>4098.1883811576099</v>
      </c>
      <c r="L10" s="132">
        <f t="shared" si="1"/>
        <v>4158.0171988615357</v>
      </c>
      <c r="M10" s="132">
        <f t="shared" si="2"/>
        <v>4194.76101321024</v>
      </c>
      <c r="N10" s="137">
        <f>VLOOKUP(A10,NSAmaksa_2021!$A$4:$N$138,12,FALSE)</f>
        <v>102.85</v>
      </c>
      <c r="O10" s="137">
        <f>VLOOKUP(A10,NSAmaksa_2021!$A$4:$N$138,14,FALSE)</f>
        <v>28.313999999999997</v>
      </c>
      <c r="P10" s="132">
        <f t="shared" si="4"/>
        <v>1053746.6875051502</v>
      </c>
      <c r="Q10" s="132">
        <f t="shared" si="5"/>
        <v>1069130.1722572723</v>
      </c>
      <c r="R10" s="132">
        <f t="shared" si="6"/>
        <v>1078577.9255216827</v>
      </c>
      <c r="S10" s="132">
        <f t="shared" si="7"/>
        <v>748284.11832718679</v>
      </c>
      <c r="T10" s="132">
        <f t="shared" si="8"/>
        <v>759208.20232292893</v>
      </c>
      <c r="U10" s="132">
        <f t="shared" si="9"/>
        <v>765917.21864104434</v>
      </c>
      <c r="V10" s="132">
        <f t="shared" si="15"/>
        <v>305462.56917796342</v>
      </c>
      <c r="W10" s="132">
        <f t="shared" si="16"/>
        <v>309921.96993434336</v>
      </c>
      <c r="X10" s="132">
        <f t="shared" si="17"/>
        <v>312660.70688063838</v>
      </c>
      <c r="Y10" s="132">
        <f t="shared" si="18"/>
        <v>928045.24599294516</v>
      </c>
      <c r="Z10" s="138">
        <f t="shared" si="19"/>
        <v>16.910637639410076</v>
      </c>
    </row>
    <row r="11" spans="1:29" s="115" customFormat="1" outlineLevel="1" x14ac:dyDescent="0.3">
      <c r="A11" s="131" t="s">
        <v>6</v>
      </c>
      <c r="B11" s="132">
        <f>VLOOKUP(A11,Iedz_sk!$B$5:$Y$123,15,FALSE)</f>
        <v>67964</v>
      </c>
      <c r="C11" s="132">
        <f>VLOOKUP(A11,Iedz_sk!$B$5:$Y$123,16,FALSE)</f>
        <v>66775</v>
      </c>
      <c r="D11" s="132">
        <f>VLOOKUP(A11,Iedz_sk!$B$5:$Y$123,17,FALSE)</f>
        <v>65587</v>
      </c>
      <c r="E11" s="133">
        <f>VLOOKUP($A11,IKP!$Q$6:$AC$124,11,FALSE)</f>
        <v>956530.2654413135</v>
      </c>
      <c r="F11" s="133">
        <f>VLOOKUP($A11,IKP!$Q$6:$AC$124,12,FALSE)</f>
        <v>1005313.3089788205</v>
      </c>
      <c r="G11" s="133">
        <f>VLOOKUP($A11,IKP!$Q$6:$AC$124,13,FALSE)</f>
        <v>1043515.2147200156</v>
      </c>
      <c r="H11" s="132">
        <f>((-0.0000000006)*IKP!$J$5 + 0.0461)*E11</f>
        <v>26261.50591087959</v>
      </c>
      <c r="I11" s="132">
        <f>((-0.0000000006)*IKP!$K$5 + 0.0461)*F11</f>
        <v>26644.893569923403</v>
      </c>
      <c r="J11" s="132">
        <f>((-0.0000000006)*IKP!$L$5 + 0.0461)*G11</f>
        <v>26880.350754406027</v>
      </c>
      <c r="K11" s="132">
        <f t="shared" si="0"/>
        <v>6302.7614186111014</v>
      </c>
      <c r="L11" s="132">
        <f t="shared" si="1"/>
        <v>6394.7744567816171</v>
      </c>
      <c r="M11" s="132">
        <f t="shared" si="2"/>
        <v>6451.2841810574464</v>
      </c>
      <c r="N11" s="137">
        <f>VLOOKUP(A11,NSAmaksa_2021!$A$4:$N$138,12,FALSE)</f>
        <v>89.1</v>
      </c>
      <c r="O11" s="137">
        <f>VLOOKUP(A11,NSAmaksa_2021!$A$4:$N$138,14,FALSE)</f>
        <v>41.58</v>
      </c>
      <c r="P11" s="132">
        <f t="shared" si="4"/>
        <v>1403940.1059956227</v>
      </c>
      <c r="Q11" s="132">
        <f t="shared" si="5"/>
        <v>1424436.0102481048</v>
      </c>
      <c r="R11" s="132">
        <f t="shared" si="6"/>
        <v>1437023.5513305461</v>
      </c>
      <c r="S11" s="132">
        <f t="shared" si="7"/>
        <v>1104432.8833832231</v>
      </c>
      <c r="T11" s="132">
        <f t="shared" si="8"/>
        <v>1120556.3280618424</v>
      </c>
      <c r="U11" s="132">
        <f t="shared" si="9"/>
        <v>1130458.5270466963</v>
      </c>
      <c r="V11" s="132">
        <f t="shared" si="15"/>
        <v>299507.22261239961</v>
      </c>
      <c r="W11" s="132">
        <f t="shared" si="16"/>
        <v>303879.68218626245</v>
      </c>
      <c r="X11" s="132">
        <f t="shared" si="17"/>
        <v>306565.02428384987</v>
      </c>
      <c r="Y11" s="132">
        <f t="shared" si="18"/>
        <v>909951.92908251192</v>
      </c>
      <c r="Z11" s="138">
        <f t="shared" si="19"/>
        <v>13.631824806669661</v>
      </c>
    </row>
    <row r="12" spans="1:29" outlineLevel="1" x14ac:dyDescent="0.3">
      <c r="A12" s="98" t="s">
        <v>7</v>
      </c>
      <c r="B12" s="132">
        <f>VLOOKUP(A12,Iedz_sk!$B$5:$Y$123,15,FALSE)</f>
        <v>26839</v>
      </c>
      <c r="C12" s="132">
        <f>VLOOKUP(A12,Iedz_sk!$B$5:$Y$123,16,FALSE)</f>
        <v>26264</v>
      </c>
      <c r="D12" s="132">
        <f>VLOOKUP(A12,Iedz_sk!$B$5:$Y$123,17,FALSE)</f>
        <v>25689</v>
      </c>
      <c r="E12" s="133">
        <f>VLOOKUP($A12,IKP!$Q$6:$AC$124,11,FALSE)</f>
        <v>301295.35124424868</v>
      </c>
      <c r="F12" s="133">
        <f>VLOOKUP($A12,IKP!$Q$6:$AC$124,12,FALSE)</f>
        <v>316661.41415770532</v>
      </c>
      <c r="G12" s="133">
        <f>VLOOKUP($A12,IKP!$Q$6:$AC$124,13,FALSE)</f>
        <v>328694.54789569811</v>
      </c>
      <c r="H12" s="132">
        <f>((-0.0000000006)*IKP!$J$5 + 0.0461)*E12</f>
        <v>8272.0536228624296</v>
      </c>
      <c r="I12" s="132">
        <f>((-0.0000000006)*IKP!$K$5 + 0.0461)*F12</f>
        <v>8392.8160530412806</v>
      </c>
      <c r="J12" s="132">
        <f>((-0.0000000006)*IKP!$L$5 + 0.0461)*G12</f>
        <v>8466.9821904493256</v>
      </c>
      <c r="K12" s="132">
        <f t="shared" si="0"/>
        <v>1985.2928694869831</v>
      </c>
      <c r="L12" s="132">
        <f t="shared" si="1"/>
        <v>2014.2758527299075</v>
      </c>
      <c r="M12" s="132">
        <f t="shared" si="2"/>
        <v>2032.075725707838</v>
      </c>
      <c r="N12" s="137">
        <f>VLOOKUP(A12,NSAmaksa_2021!$A$4:$N$138,12,FALSE)</f>
        <v>78.650000000000006</v>
      </c>
      <c r="O12" s="137">
        <f>VLOOKUP(A12,NSAmaksa_2021!$A$4:$N$138,14,FALSE)</f>
        <v>36.703333333333333</v>
      </c>
      <c r="P12" s="132">
        <f>H12*$AB$5*$N12</f>
        <v>390358.21046287811</v>
      </c>
      <c r="Q12" s="132">
        <f t="shared" si="5"/>
        <v>396056.98954301805</v>
      </c>
      <c r="R12" s="132">
        <f t="shared" si="6"/>
        <v>399556.8895673037</v>
      </c>
      <c r="S12" s="132">
        <f>H12*$AB$5*(1-$AB$6)*$N12+K12*$O12</f>
        <v>307081.79223079741</v>
      </c>
      <c r="T12" s="132">
        <f t="shared" si="8"/>
        <v>311564.83177384088</v>
      </c>
      <c r="U12" s="132">
        <f t="shared" si="9"/>
        <v>314318.08645961224</v>
      </c>
      <c r="V12" s="132">
        <f t="shared" si="15"/>
        <v>83276.418232080701</v>
      </c>
      <c r="W12" s="132">
        <f t="shared" si="16"/>
        <v>84492.157769177167</v>
      </c>
      <c r="X12" s="132">
        <f t="shared" si="17"/>
        <v>85238.803107691463</v>
      </c>
      <c r="Y12" s="132">
        <f t="shared" si="18"/>
        <v>253007.37910894933</v>
      </c>
      <c r="Z12" s="138">
        <f t="shared" si="19"/>
        <v>9.6379520127173866</v>
      </c>
    </row>
    <row r="13" spans="1:29" outlineLevel="1" x14ac:dyDescent="0.3">
      <c r="A13" s="98" t="s">
        <v>8</v>
      </c>
      <c r="B13" s="132">
        <f>VLOOKUP(A13,Iedz_sk!$B$5:$Y$123,15,FALSE)</f>
        <v>22971</v>
      </c>
      <c r="C13" s="132">
        <f>VLOOKUP(A13,Iedz_sk!$B$5:$Y$123,16,FALSE)</f>
        <v>22974</v>
      </c>
      <c r="D13" s="132">
        <f>VLOOKUP(A13,Iedz_sk!$B$5:$Y$123,17,FALSE)</f>
        <v>22977</v>
      </c>
      <c r="E13" s="133">
        <f>VLOOKUP($A13,IKP!$Q$6:$AC$124,11,FALSE)</f>
        <v>416243.04791054904</v>
      </c>
      <c r="F13" s="133">
        <f>VLOOKUP($A13,IKP!$Q$6:$AC$124,12,FALSE)</f>
        <v>437471.44335398701</v>
      </c>
      <c r="G13" s="133">
        <f>VLOOKUP($A13,IKP!$Q$6:$AC$124,13,FALSE)</f>
        <v>454095.3582014385</v>
      </c>
      <c r="H13" s="132">
        <f>((-0.0000000006)*IKP!$J$5 + 0.0461)*E13</f>
        <v>11427.938726039281</v>
      </c>
      <c r="I13" s="132">
        <f>((-0.0000000006)*IKP!$K$5 + 0.0461)*F13</f>
        <v>11594.773434252158</v>
      </c>
      <c r="J13" s="132">
        <f>((-0.0000000006)*IKP!$L$5 + 0.0461)*G13</f>
        <v>11697.234819597101</v>
      </c>
      <c r="K13" s="132">
        <f t="shared" si="0"/>
        <v>2742.7052942494274</v>
      </c>
      <c r="L13" s="132">
        <f t="shared" si="1"/>
        <v>2782.745624220518</v>
      </c>
      <c r="M13" s="132">
        <f t="shared" si="2"/>
        <v>2807.3363567033043</v>
      </c>
      <c r="N13" s="137">
        <f>VLOOKUP(A13,NSAmaksa_2021!$A$4:$N$138,12,FALSE)</f>
        <v>117.249</v>
      </c>
      <c r="O13" s="137">
        <f>VLOOKUP(A13,NSAmaksa_2021!$A$4:$N$138,14,FALSE)</f>
        <v>54.716199999999994</v>
      </c>
      <c r="P13" s="132">
        <f t="shared" si="4"/>
        <v>803948.63261362782</v>
      </c>
      <c r="Q13" s="132">
        <f t="shared" si="5"/>
        <v>815685.35423557868</v>
      </c>
      <c r="R13" s="132">
        <f t="shared" si="6"/>
        <v>822893.45121776417</v>
      </c>
      <c r="S13" s="132">
        <f t="shared" si="7"/>
        <v>632439.59098938713</v>
      </c>
      <c r="T13" s="132">
        <f t="shared" si="8"/>
        <v>641672.47866532183</v>
      </c>
      <c r="U13" s="132">
        <f t="shared" si="9"/>
        <v>647342.84829130792</v>
      </c>
      <c r="V13" s="132">
        <f>P13-S13</f>
        <v>171509.04162424069</v>
      </c>
      <c r="W13" s="132">
        <f t="shared" si="16"/>
        <v>174012.87557025685</v>
      </c>
      <c r="X13" s="132">
        <f t="shared" si="17"/>
        <v>175550.60292645625</v>
      </c>
      <c r="Y13" s="132">
        <f t="shared" si="18"/>
        <v>521072.52012095379</v>
      </c>
      <c r="Z13" s="138">
        <f t="shared" si="19"/>
        <v>22.680943600685953</v>
      </c>
    </row>
    <row r="14" spans="1:29" outlineLevel="1" x14ac:dyDescent="0.3">
      <c r="A14" s="98" t="s">
        <v>9</v>
      </c>
      <c r="B14" s="132">
        <f>VLOOKUP(A14,Iedz_sk!$B$5:$Y$123,15,FALSE)</f>
        <v>33372</v>
      </c>
      <c r="C14" s="132">
        <f>VLOOKUP(A14,Iedz_sk!$B$5:$Y$123,16,FALSE)</f>
        <v>32851</v>
      </c>
      <c r="D14" s="132">
        <f>VLOOKUP(A14,Iedz_sk!$B$5:$Y$123,17,FALSE)</f>
        <v>32329</v>
      </c>
      <c r="E14" s="133">
        <f>VLOOKUP($A14,IKP!$Q$6:$AC$124,11,FALSE)</f>
        <v>501127.82880555547</v>
      </c>
      <c r="F14" s="133">
        <f>VLOOKUP($A14,IKP!$Q$6:$AC$124,12,FALSE)</f>
        <v>526685.34807463875</v>
      </c>
      <c r="G14" s="133">
        <f>VLOOKUP($A14,IKP!$Q$6:$AC$124,13,FALSE)</f>
        <v>546699.391301475</v>
      </c>
      <c r="H14" s="132">
        <f>((-0.0000000006)*IKP!$J$5 + 0.0461)*E14</f>
        <v>13758.447499004709</v>
      </c>
      <c r="I14" s="132">
        <f>((-0.0000000006)*IKP!$K$5 + 0.0461)*F14</f>
        <v>13959.304943989817</v>
      </c>
      <c r="J14" s="132">
        <f>((-0.0000000006)*IKP!$L$5 + 0.0461)*G14</f>
        <v>14082.661362390239</v>
      </c>
      <c r="K14" s="132">
        <f t="shared" si="0"/>
        <v>3302.0273997611303</v>
      </c>
      <c r="L14" s="132">
        <f t="shared" si="1"/>
        <v>3350.2331865575566</v>
      </c>
      <c r="M14" s="132">
        <f t="shared" si="2"/>
        <v>3379.8387269736577</v>
      </c>
      <c r="N14" s="137">
        <f>VLOOKUP(A14,NSAmaksa_2021!$A$4:$N$138,12,FALSE)</f>
        <v>65.650000000000006</v>
      </c>
      <c r="O14" s="137">
        <f>VLOOKUP(A14,NSAmaksa_2021!$A$4:$N$138,14,FALSE)</f>
        <v>30.63666666666667</v>
      </c>
      <c r="P14" s="132">
        <f t="shared" si="4"/>
        <v>541945.24698579556</v>
      </c>
      <c r="Q14" s="132">
        <f t="shared" si="5"/>
        <v>549857.02174375893</v>
      </c>
      <c r="R14" s="132">
        <f t="shared" si="6"/>
        <v>554716.03106455156</v>
      </c>
      <c r="S14" s="132">
        <f t="shared" si="7"/>
        <v>426330.26096215914</v>
      </c>
      <c r="T14" s="132">
        <f t="shared" si="8"/>
        <v>432554.19043842365</v>
      </c>
      <c r="U14" s="132">
        <f t="shared" si="9"/>
        <v>436376.61110411386</v>
      </c>
      <c r="V14" s="132">
        <f t="shared" si="15"/>
        <v>115614.98602363642</v>
      </c>
      <c r="W14" s="132">
        <f t="shared" si="16"/>
        <v>117302.83130533528</v>
      </c>
      <c r="X14" s="132">
        <f t="shared" si="17"/>
        <v>118339.41996043769</v>
      </c>
      <c r="Y14" s="132">
        <f t="shared" si="18"/>
        <v>351257.23728940939</v>
      </c>
      <c r="Z14" s="138">
        <f t="shared" si="19"/>
        <v>10.695657226235742</v>
      </c>
    </row>
    <row r="15" spans="1:29" outlineLevel="1" x14ac:dyDescent="0.3">
      <c r="A15" s="98" t="s">
        <v>10</v>
      </c>
      <c r="B15" s="132">
        <f>VLOOKUP(A15,Iedz_sk!$B$5:$Y$123,15,FALSE)</f>
        <v>3042</v>
      </c>
      <c r="C15" s="132">
        <f>VLOOKUP(A15,Iedz_sk!$B$5:$Y$123,16,FALSE)</f>
        <v>2970</v>
      </c>
      <c r="D15" s="132">
        <f>VLOOKUP(A15,Iedz_sk!$B$5:$Y$123,17,FALSE)</f>
        <v>2897</v>
      </c>
      <c r="E15" s="133">
        <f>VLOOKUP($A15,IKP!$Q$6:$AC$124,11,FALSE)</f>
        <v>20003.89150818995</v>
      </c>
      <c r="F15" s="133">
        <f>VLOOKUP($A15,IKP!$Q$6:$AC$124,12,FALSE)</f>
        <v>21008.52163844333</v>
      </c>
      <c r="G15" s="133">
        <f>VLOOKUP($A15,IKP!$Q$6:$AC$124,13,FALSE)</f>
        <v>21782.389328454396</v>
      </c>
      <c r="H15" s="132">
        <f>((-0.0000000006)*IKP!$J$5 + 0.0461)*E15</f>
        <v>549.20616112502444</v>
      </c>
      <c r="I15" s="132">
        <f>((-0.0000000006)*IKP!$K$5 + 0.0461)*F15</f>
        <v>556.81131257116215</v>
      </c>
      <c r="J15" s="132">
        <f>((-0.0000000006)*IKP!$L$5 + 0.0461)*G15</f>
        <v>561.10180010646479</v>
      </c>
      <c r="K15" s="132">
        <f t="shared" si="0"/>
        <v>131.80947867000586</v>
      </c>
      <c r="L15" s="132">
        <f t="shared" si="1"/>
        <v>133.63471501707892</v>
      </c>
      <c r="M15" s="132">
        <f t="shared" si="2"/>
        <v>134.66443202555155</v>
      </c>
      <c r="N15" s="137">
        <f>VLOOKUP(A15,NSAmaksa_2021!$A$4:$N$138,12,FALSE)</f>
        <v>120.87899999999999</v>
      </c>
      <c r="O15" s="137">
        <f>VLOOKUP(A15,NSAmaksa_2021!$A$4:$N$138,14,FALSE)</f>
        <v>56.410199999999996</v>
      </c>
      <c r="P15" s="132">
        <f t="shared" si="4"/>
        <v>39832.494930379093</v>
      </c>
      <c r="Q15" s="132">
        <f t="shared" si="5"/>
        <v>40384.0767913737</v>
      </c>
      <c r="R15" s="132">
        <f t="shared" si="6"/>
        <v>40695.254697041608</v>
      </c>
      <c r="S15" s="132">
        <f t="shared" si="7"/>
        <v>31334.896011898221</v>
      </c>
      <c r="T15" s="132">
        <f t="shared" si="8"/>
        <v>31768.807075880643</v>
      </c>
      <c r="U15" s="132">
        <f t="shared" si="9"/>
        <v>32013.600361672732</v>
      </c>
      <c r="V15" s="133">
        <f t="shared" si="15"/>
        <v>8497.5989184808714</v>
      </c>
      <c r="W15" s="133">
        <f t="shared" si="16"/>
        <v>8615.2697154930574</v>
      </c>
      <c r="X15" s="133">
        <f t="shared" si="17"/>
        <v>8681.6543353688758</v>
      </c>
      <c r="Y15" s="133">
        <f t="shared" si="18"/>
        <v>25794.522969342805</v>
      </c>
      <c r="Z15" s="139">
        <f t="shared" si="19"/>
        <v>8.6909632562853751</v>
      </c>
    </row>
    <row r="16" spans="1:29" outlineLevel="1" x14ac:dyDescent="0.3">
      <c r="A16" s="98" t="s">
        <v>11</v>
      </c>
      <c r="B16" s="132">
        <f>VLOOKUP(A16,Iedz_sk!$B$5:$Y$123,15,FALSE)</f>
        <v>8017</v>
      </c>
      <c r="C16" s="132">
        <f>VLOOKUP(A16,Iedz_sk!$B$5:$Y$123,16,FALSE)</f>
        <v>7873</v>
      </c>
      <c r="D16" s="132">
        <f>VLOOKUP(A16,Iedz_sk!$B$5:$Y$123,17,FALSE)</f>
        <v>7729</v>
      </c>
      <c r="E16" s="133">
        <f>VLOOKUP($A16,IKP!$Q$6:$AC$124,11,FALSE)</f>
        <v>68418.691922067432</v>
      </c>
      <c r="F16" s="133">
        <f>VLOOKUP($A16,IKP!$Q$6:$AC$124,12,FALSE)</f>
        <v>71784.120049151752</v>
      </c>
      <c r="G16" s="133">
        <f>VLOOKUP($A16,IKP!$Q$6:$AC$124,13,FALSE)</f>
        <v>74379.467362873969</v>
      </c>
      <c r="H16" s="132">
        <f>((-0.0000000006)*IKP!$J$5 + 0.0461)*E16</f>
        <v>1878.4328601427428</v>
      </c>
      <c r="I16" s="132">
        <f>((-0.0000000006)*IKP!$K$5 + 0.0461)*F16</f>
        <v>1902.5712896043524</v>
      </c>
      <c r="J16" s="132">
        <f>((-0.0000000006)*IKP!$L$5 + 0.0461)*G16</f>
        <v>1915.9722287100433</v>
      </c>
      <c r="K16" s="132">
        <f t="shared" si="0"/>
        <v>450.82388643425833</v>
      </c>
      <c r="L16" s="132">
        <f t="shared" si="1"/>
        <v>456.61710950504454</v>
      </c>
      <c r="M16" s="132">
        <f t="shared" si="2"/>
        <v>459.83333489041041</v>
      </c>
      <c r="N16" s="137">
        <f>VLOOKUP(A16,NSAmaksa_2021!$A$4:$N$138,12,FALSE)</f>
        <v>111.52500000000001</v>
      </c>
      <c r="O16" s="137">
        <f>VLOOKUP(A16,NSAmaksa_2021!$A$4:$N$138,14,FALSE)</f>
        <v>52.045000000000002</v>
      </c>
      <c r="P16" s="132">
        <f t="shared" si="4"/>
        <v>125695.33483645164</v>
      </c>
      <c r="Q16" s="132">
        <f t="shared" si="5"/>
        <v>127310.55784387524</v>
      </c>
      <c r="R16" s="132">
        <f t="shared" si="6"/>
        <v>128207.28168413254</v>
      </c>
      <c r="S16" s="132">
        <f t="shared" si="7"/>
        <v>98880.330071341974</v>
      </c>
      <c r="T16" s="132">
        <f t="shared" si="8"/>
        <v>100150.97217051519</v>
      </c>
      <c r="U16" s="132">
        <f t="shared" si="9"/>
        <v>100856.39492485093</v>
      </c>
      <c r="V16" s="132">
        <f t="shared" si="15"/>
        <v>26815.004765109668</v>
      </c>
      <c r="W16" s="132">
        <f t="shared" si="16"/>
        <v>27159.585673360052</v>
      </c>
      <c r="X16" s="132">
        <f t="shared" si="17"/>
        <v>27350.88675928161</v>
      </c>
      <c r="Y16" s="132">
        <f t="shared" si="18"/>
        <v>81325.47719775133</v>
      </c>
      <c r="Z16" s="138">
        <f t="shared" si="19"/>
        <v>10.333215867453662</v>
      </c>
    </row>
    <row r="17" spans="1:26" outlineLevel="1" x14ac:dyDescent="0.3">
      <c r="A17" s="98" t="s">
        <v>12</v>
      </c>
      <c r="B17" s="132">
        <f>VLOOKUP(A17,Iedz_sk!$B$5:$Y$123,15,FALSE)</f>
        <v>8083</v>
      </c>
      <c r="C17" s="132">
        <f>VLOOKUP(A17,Iedz_sk!$B$5:$Y$123,16,FALSE)</f>
        <v>7946</v>
      </c>
      <c r="D17" s="132">
        <f>VLOOKUP(A17,Iedz_sk!$B$5:$Y$123,17,FALSE)</f>
        <v>7809</v>
      </c>
      <c r="E17" s="133">
        <f>VLOOKUP($A17,IKP!$Q$6:$AC$124,11,FALSE)</f>
        <v>77444.56019057885</v>
      </c>
      <c r="F17" s="133">
        <f>VLOOKUP($A17,IKP!$Q$6:$AC$124,12,FALSE)</f>
        <v>81467.568075940566</v>
      </c>
      <c r="G17" s="133">
        <f>VLOOKUP($A17,IKP!$Q$6:$AC$124,13,FALSE)</f>
        <v>84641.621598007841</v>
      </c>
      <c r="H17" s="132">
        <f>((-0.0000000006)*IKP!$J$5 + 0.0461)*E17</f>
        <v>2126.2377665300733</v>
      </c>
      <c r="I17" s="132">
        <f>((-0.0000000006)*IKP!$K$5 + 0.0461)*F17</f>
        <v>2159.2220667891875</v>
      </c>
      <c r="J17" s="132">
        <f>((-0.0000000006)*IKP!$L$5 + 0.0461)*G17</f>
        <v>2180.3194097046439</v>
      </c>
      <c r="K17" s="132">
        <f t="shared" si="0"/>
        <v>510.29706396721758</v>
      </c>
      <c r="L17" s="132">
        <f t="shared" si="1"/>
        <v>518.213296029405</v>
      </c>
      <c r="M17" s="132">
        <f t="shared" si="2"/>
        <v>523.27665832911453</v>
      </c>
      <c r="N17" s="137">
        <f>VLOOKUP(A17,NSAmaksa_2021!$A$4:$N$138,12,FALSE)</f>
        <v>92.95</v>
      </c>
      <c r="O17" s="137">
        <f>VLOOKUP(A17,NSAmaksa_2021!$A$4:$N$138,14,FALSE)</f>
        <v>43.376666666666665</v>
      </c>
      <c r="P17" s="132">
        <f t="shared" si="4"/>
        <v>118580.28023938219</v>
      </c>
      <c r="Q17" s="132">
        <f t="shared" si="5"/>
        <v>120419.81466483299</v>
      </c>
      <c r="R17" s="132">
        <f t="shared" si="6"/>
        <v>121596.41347922799</v>
      </c>
      <c r="S17" s="132">
        <f t="shared" si="7"/>
        <v>93283.153788313997</v>
      </c>
      <c r="T17" s="132">
        <f t="shared" si="8"/>
        <v>94730.254203001939</v>
      </c>
      <c r="U17" s="132">
        <f t="shared" si="9"/>
        <v>95655.845270326012</v>
      </c>
      <c r="V17" s="132">
        <f t="shared" si="15"/>
        <v>25297.126451068194</v>
      </c>
      <c r="W17" s="132">
        <f t="shared" si="16"/>
        <v>25689.560461831046</v>
      </c>
      <c r="X17" s="132">
        <f t="shared" si="17"/>
        <v>25940.568208901983</v>
      </c>
      <c r="Y17" s="132">
        <f t="shared" si="18"/>
        <v>76927.255121801223</v>
      </c>
      <c r="Z17" s="138">
        <f t="shared" si="19"/>
        <v>9.6845693373488348</v>
      </c>
    </row>
    <row r="18" spans="1:26" outlineLevel="1" x14ac:dyDescent="0.3">
      <c r="A18" s="98" t="s">
        <v>13</v>
      </c>
      <c r="B18" s="132">
        <f>VLOOKUP(A18,Iedz_sk!$B$5:$Y$123,15,FALSE)</f>
        <v>2546</v>
      </c>
      <c r="C18" s="132">
        <f>VLOOKUP(A18,Iedz_sk!$B$5:$Y$123,16,FALSE)</f>
        <v>2478</v>
      </c>
      <c r="D18" s="132">
        <f>VLOOKUP(A18,Iedz_sk!$B$5:$Y$123,17,FALSE)</f>
        <v>2410</v>
      </c>
      <c r="E18" s="133">
        <f>VLOOKUP($A18,IKP!$Q$6:$AC$124,11,FALSE)</f>
        <v>21728.076541547172</v>
      </c>
      <c r="F18" s="133">
        <f>VLOOKUP($A18,IKP!$Q$6:$AC$124,12,FALSE)</f>
        <v>22593.807885405568</v>
      </c>
      <c r="G18" s="133">
        <f>VLOOKUP($A18,IKP!$Q$6:$AC$124,13,FALSE)</f>
        <v>23192.459094905713</v>
      </c>
      <c r="H18" s="132">
        <f>((-0.0000000006)*IKP!$J$5 + 0.0461)*E18</f>
        <v>596.54360258493489</v>
      </c>
      <c r="I18" s="132">
        <f>((-0.0000000006)*IKP!$K$5 + 0.0461)*F18</f>
        <v>598.82784905875587</v>
      </c>
      <c r="J18" s="132">
        <f>((-0.0000000006)*IKP!$L$5 + 0.0461)*G18</f>
        <v>597.42438493869895</v>
      </c>
      <c r="K18" s="132">
        <f t="shared" si="0"/>
        <v>143.17046462038437</v>
      </c>
      <c r="L18" s="132">
        <f t="shared" si="1"/>
        <v>143.71868377410141</v>
      </c>
      <c r="M18" s="132">
        <f t="shared" si="2"/>
        <v>143.38185238528774</v>
      </c>
      <c r="N18" s="137">
        <f>VLOOKUP(A18,NSAmaksa_2021!$A$4:$N$138,12,FALSE)</f>
        <v>101.18674999999999</v>
      </c>
      <c r="O18" s="137">
        <f>VLOOKUP(A18,NSAmaksa_2021!$A$4:$N$138,14,FALSE)</f>
        <v>47.220483333333334</v>
      </c>
      <c r="P18" s="132">
        <f t="shared" si="4"/>
        <v>36217.38502731669</v>
      </c>
      <c r="Q18" s="132">
        <f t="shared" si="5"/>
        <v>36356.066313447634</v>
      </c>
      <c r="R18" s="132">
        <f t="shared" si="6"/>
        <v>36270.859129617529</v>
      </c>
      <c r="S18" s="132">
        <f t="shared" si="7"/>
        <v>28491.009554822464</v>
      </c>
      <c r="T18" s="132">
        <f t="shared" si="8"/>
        <v>28600.105499912141</v>
      </c>
      <c r="U18" s="132">
        <f t="shared" si="9"/>
        <v>28533.075848632463</v>
      </c>
      <c r="V18" s="132">
        <f t="shared" si="15"/>
        <v>7726.3754724942264</v>
      </c>
      <c r="W18" s="132">
        <f t="shared" si="16"/>
        <v>7755.9608135354938</v>
      </c>
      <c r="X18" s="132">
        <f t="shared" si="17"/>
        <v>7737.7832809850661</v>
      </c>
      <c r="Y18" s="132">
        <f t="shared" si="18"/>
        <v>23220.119567014786</v>
      </c>
      <c r="Z18" s="138">
        <f t="shared" si="19"/>
        <v>9.3753376433630695</v>
      </c>
    </row>
    <row r="19" spans="1:26" outlineLevel="1" x14ac:dyDescent="0.3">
      <c r="A19" s="98" t="s">
        <v>14</v>
      </c>
      <c r="B19" s="132">
        <f>VLOOKUP(A19,Iedz_sk!$B$5:$Y$123,15,FALSE)</f>
        <v>4520</v>
      </c>
      <c r="C19" s="132">
        <f>VLOOKUP(A19,Iedz_sk!$B$5:$Y$123,16,FALSE)</f>
        <v>4432</v>
      </c>
      <c r="D19" s="132">
        <f>VLOOKUP(A19,Iedz_sk!$B$5:$Y$123,17,FALSE)</f>
        <v>4345</v>
      </c>
      <c r="E19" s="133">
        <f>VLOOKUP($A19,IKP!$Q$6:$AC$124,11,FALSE)</f>
        <v>58638.501655615051</v>
      </c>
      <c r="F19" s="133">
        <f>VLOOKUP($A19,IKP!$Q$6:$AC$124,12,FALSE)</f>
        <v>60616.181628571212</v>
      </c>
      <c r="G19" s="133">
        <f>VLOOKUP($A19,IKP!$Q$6:$AC$124,13,FALSE)</f>
        <v>61875.937753305872</v>
      </c>
      <c r="H19" s="132">
        <f>((-0.0000000006)*IKP!$J$5 + 0.0461)*E19</f>
        <v>1609.9180689526627</v>
      </c>
      <c r="I19" s="132">
        <f>((-0.0000000006)*IKP!$K$5 + 0.0461)*F19</f>
        <v>1606.5754762055506</v>
      </c>
      <c r="J19" s="132">
        <f>((-0.0000000006)*IKP!$L$5 + 0.0461)*G19</f>
        <v>1593.8885093428366</v>
      </c>
      <c r="K19" s="132">
        <f t="shared" si="0"/>
        <v>386.38033654863904</v>
      </c>
      <c r="L19" s="132">
        <f t="shared" si="1"/>
        <v>385.57811428933218</v>
      </c>
      <c r="M19" s="132">
        <f t="shared" si="2"/>
        <v>382.53324224228083</v>
      </c>
      <c r="N19" s="137">
        <f>VLOOKUP(A19,NSAmaksa_2021!$A$4:$N$138,12,FALSE)</f>
        <v>123.84350000000001</v>
      </c>
      <c r="O19" s="137">
        <f>VLOOKUP(A19,NSAmaksa_2021!$A$4:$N$138,14,FALSE)</f>
        <v>57.793633333333325</v>
      </c>
      <c r="P19" s="132">
        <f t="shared" si="4"/>
        <v>119626.73302340345</v>
      </c>
      <c r="Q19" s="132">
        <f t="shared" si="5"/>
        <v>119378.35799247725</v>
      </c>
      <c r="R19" s="132">
        <f t="shared" si="6"/>
        <v>118435.63896407976</v>
      </c>
      <c r="S19" s="132">
        <f t="shared" si="7"/>
        <v>94106.363311744033</v>
      </c>
      <c r="T19" s="132">
        <f t="shared" si="8"/>
        <v>93910.974954082107</v>
      </c>
      <c r="U19" s="132">
        <f t="shared" si="9"/>
        <v>93169.369318409401</v>
      </c>
      <c r="V19" s="132">
        <f t="shared" si="15"/>
        <v>25520.369711659412</v>
      </c>
      <c r="W19" s="132">
        <f t="shared" si="16"/>
        <v>25467.383038395143</v>
      </c>
      <c r="X19" s="132">
        <f t="shared" si="17"/>
        <v>25266.269645670356</v>
      </c>
      <c r="Y19" s="132">
        <f t="shared" si="18"/>
        <v>76254.022395724911</v>
      </c>
      <c r="Z19" s="138">
        <f t="shared" si="19"/>
        <v>17.207371961951342</v>
      </c>
    </row>
    <row r="20" spans="1:26" outlineLevel="1" x14ac:dyDescent="0.3">
      <c r="A20" s="98" t="s">
        <v>15</v>
      </c>
      <c r="B20" s="132">
        <f>VLOOKUP(A20,Iedz_sk!$B$5:$Y$123,15,FALSE)</f>
        <v>1303</v>
      </c>
      <c r="C20" s="132">
        <f>VLOOKUP(A20,Iedz_sk!$B$5:$Y$123,16,FALSE)</f>
        <v>1278</v>
      </c>
      <c r="D20" s="132">
        <f>VLOOKUP(A20,Iedz_sk!$B$5:$Y$123,17,FALSE)</f>
        <v>1254</v>
      </c>
      <c r="E20" s="133">
        <f>VLOOKUP($A20,IKP!$Q$6:$AC$124,11,FALSE)</f>
        <v>12484.258558496133</v>
      </c>
      <c r="F20" s="133">
        <f>VLOOKUP($A20,IKP!$Q$6:$AC$124,12,FALSE)</f>
        <v>13102.888497489561</v>
      </c>
      <c r="G20" s="133">
        <f>VLOOKUP($A20,IKP!$Q$6:$AC$124,13,FALSE)</f>
        <v>13592.085220118046</v>
      </c>
      <c r="H20" s="132">
        <f>((-0.0000000006)*IKP!$J$5 + 0.0461)*E20</f>
        <v>342.75489419629906</v>
      </c>
      <c r="I20" s="132">
        <f>((-0.0000000006)*IKP!$K$5 + 0.0461)*F20</f>
        <v>347.27986425328243</v>
      </c>
      <c r="J20" s="132">
        <f>((-0.0000000006)*IKP!$L$5 + 0.0461)*G20</f>
        <v>350.12428477008882</v>
      </c>
      <c r="K20" s="132">
        <f t="shared" si="0"/>
        <v>82.261174607111769</v>
      </c>
      <c r="L20" s="132">
        <f t="shared" si="1"/>
        <v>83.347167420787784</v>
      </c>
      <c r="M20" s="132">
        <f t="shared" si="2"/>
        <v>84.029828344821311</v>
      </c>
      <c r="N20" s="137">
        <f>VLOOKUP(A20,NSAmaksa_2021!$A$4:$N$138,12,FALSE)</f>
        <v>75.099999999999994</v>
      </c>
      <c r="O20" s="137">
        <f>VLOOKUP(A20,NSAmaksa_2021!$A$4:$N$138,14,FALSE)</f>
        <v>35.046666666666667</v>
      </c>
      <c r="P20" s="132">
        <f t="shared" si="4"/>
        <v>15444.535532485235</v>
      </c>
      <c r="Q20" s="132">
        <f t="shared" si="5"/>
        <v>15648.430683252904</v>
      </c>
      <c r="R20" s="132">
        <f t="shared" si="6"/>
        <v>15776.600271740201</v>
      </c>
      <c r="S20" s="132">
        <f t="shared" si="7"/>
        <v>12149.701285555051</v>
      </c>
      <c r="T20" s="132">
        <f t="shared" si="8"/>
        <v>12310.098804158952</v>
      </c>
      <c r="U20" s="132">
        <f t="shared" si="9"/>
        <v>12410.92554710229</v>
      </c>
      <c r="V20" s="132">
        <f t="shared" si="15"/>
        <v>3294.8342469301842</v>
      </c>
      <c r="W20" s="132">
        <f t="shared" si="16"/>
        <v>3338.331879093952</v>
      </c>
      <c r="X20" s="132">
        <f t="shared" si="17"/>
        <v>3365.6747246379109</v>
      </c>
      <c r="Y20" s="132">
        <f t="shared" si="18"/>
        <v>9998.8408506620472</v>
      </c>
      <c r="Z20" s="138">
        <f t="shared" si="19"/>
        <v>7.8247569363625331</v>
      </c>
    </row>
    <row r="21" spans="1:26" outlineLevel="1" x14ac:dyDescent="0.3">
      <c r="A21" s="98" t="s">
        <v>16</v>
      </c>
      <c r="B21" s="132">
        <f>VLOOKUP(A21,Iedz_sk!$B$5:$Y$123,15,FALSE)</f>
        <v>13861</v>
      </c>
      <c r="C21" s="132">
        <f>VLOOKUP(A21,Iedz_sk!$B$5:$Y$123,16,FALSE)</f>
        <v>13430</v>
      </c>
      <c r="D21" s="132">
        <f>VLOOKUP(A21,Iedz_sk!$B$5:$Y$123,17,FALSE)</f>
        <v>12998</v>
      </c>
      <c r="E21" s="133">
        <f>VLOOKUP($A21,IKP!$Q$6:$AC$124,11,FALSE)</f>
        <v>130893.41369186182</v>
      </c>
      <c r="F21" s="133">
        <f>VLOOKUP($A21,IKP!$Q$6:$AC$124,12,FALSE)</f>
        <v>136451.99055149566</v>
      </c>
      <c r="G21" s="133">
        <f>VLOOKUP($A21,IKP!$Q$6:$AC$124,13,FALSE)</f>
        <v>140408.77439595995</v>
      </c>
      <c r="H21" s="132">
        <f>((-0.0000000006)*IKP!$J$5 + 0.0461)*E21</f>
        <v>3593.6742218795339</v>
      </c>
      <c r="I21" s="132">
        <f>((-0.0000000006)*IKP!$K$5 + 0.0461)*F21</f>
        <v>3616.5330083433641</v>
      </c>
      <c r="J21" s="132">
        <f>((-0.0000000006)*IKP!$L$5 + 0.0461)*G21</f>
        <v>3616.8491379134598</v>
      </c>
      <c r="K21" s="132">
        <f t="shared" si="0"/>
        <v>862.48181325108817</v>
      </c>
      <c r="L21" s="132">
        <f t="shared" si="1"/>
        <v>867.96792200240748</v>
      </c>
      <c r="M21" s="132">
        <f t="shared" si="2"/>
        <v>868.04379309923036</v>
      </c>
      <c r="N21" s="137">
        <f>VLOOKUP(A21,NSAmaksa_2021!$A$4:$N$138,12,FALSE)</f>
        <v>94.55</v>
      </c>
      <c r="O21" s="137">
        <f>VLOOKUP(A21,NSAmaksa_2021!$A$4:$N$138,14,FALSE)</f>
        <v>44.123333333333335</v>
      </c>
      <c r="P21" s="132">
        <f t="shared" si="4"/>
        <v>203869.13860722596</v>
      </c>
      <c r="Q21" s="132">
        <f t="shared" si="5"/>
        <v>205165.91756331906</v>
      </c>
      <c r="R21" s="132">
        <f t="shared" si="6"/>
        <v>205183.85159383054</v>
      </c>
      <c r="S21" s="132">
        <f t="shared" si="7"/>
        <v>160377.05570435108</v>
      </c>
      <c r="T21" s="132">
        <f t="shared" si="8"/>
        <v>161397.18848314433</v>
      </c>
      <c r="U21" s="132">
        <f t="shared" si="9"/>
        <v>161411.2965871467</v>
      </c>
      <c r="V21" s="132">
        <f t="shared" si="15"/>
        <v>43492.082902874885</v>
      </c>
      <c r="W21" s="132">
        <f t="shared" si="16"/>
        <v>43768.729080174729</v>
      </c>
      <c r="X21" s="132">
        <f t="shared" si="17"/>
        <v>43772.555006683833</v>
      </c>
      <c r="Y21" s="132">
        <f t="shared" si="18"/>
        <v>131033.36698973345</v>
      </c>
      <c r="Z21" s="138">
        <f t="shared" si="19"/>
        <v>9.7643949830923127</v>
      </c>
    </row>
    <row r="22" spans="1:26" outlineLevel="1" x14ac:dyDescent="0.3">
      <c r="A22" s="98" t="s">
        <v>17</v>
      </c>
      <c r="B22" s="132">
        <f>VLOOKUP(A22,Iedz_sk!$B$5:$Y$123,15,FALSE)</f>
        <v>5042</v>
      </c>
      <c r="C22" s="132">
        <f>VLOOKUP(A22,Iedz_sk!$B$5:$Y$123,16,FALSE)</f>
        <v>4900</v>
      </c>
      <c r="D22" s="132">
        <f>VLOOKUP(A22,Iedz_sk!$B$5:$Y$123,17,FALSE)</f>
        <v>4758</v>
      </c>
      <c r="E22" s="133">
        <f>VLOOKUP($A22,IKP!$Q$6:$AC$124,11,FALSE)</f>
        <v>47613.0576317991</v>
      </c>
      <c r="F22" s="133">
        <f>VLOOKUP($A22,IKP!$Q$6:$AC$124,12,FALSE)</f>
        <v>49785.164088036385</v>
      </c>
      <c r="G22" s="133">
        <f>VLOOKUP($A22,IKP!$Q$6:$AC$124,13,FALSE)</f>
        <v>51397.518739496656</v>
      </c>
      <c r="H22" s="132">
        <f>((-0.0000000006)*IKP!$J$5 + 0.0461)*E22</f>
        <v>1307.2148781990197</v>
      </c>
      <c r="I22" s="132">
        <f>((-0.0000000006)*IKP!$K$5 + 0.0461)*F22</f>
        <v>1319.5094371468713</v>
      </c>
      <c r="J22" s="132">
        <f>((-0.0000000006)*IKP!$L$5 + 0.0461)*G22</f>
        <v>1323.9704722412866</v>
      </c>
      <c r="K22" s="132">
        <f t="shared" si="0"/>
        <v>313.73157076776471</v>
      </c>
      <c r="L22" s="132">
        <f t="shared" si="1"/>
        <v>316.68226491524911</v>
      </c>
      <c r="M22" s="132">
        <f t="shared" si="2"/>
        <v>317.75291333790881</v>
      </c>
      <c r="N22" s="137">
        <f>VLOOKUP(A22,NSAmaksa_2021!$A$4:$N$138,12,FALSE)</f>
        <v>119.12449999999998</v>
      </c>
      <c r="O22" s="137">
        <f>VLOOKUP(A22,NSAmaksa_2021!$A$4:$N$138,14,FALSE)</f>
        <v>55.591433333333335</v>
      </c>
      <c r="P22" s="132">
        <f t="shared" si="4"/>
        <v>93432.791254811469</v>
      </c>
      <c r="Q22" s="132">
        <f t="shared" si="5"/>
        <v>94311.541167241463</v>
      </c>
      <c r="R22" s="132">
        <f t="shared" si="6"/>
        <v>94630.392312304277</v>
      </c>
      <c r="S22" s="132">
        <f t="shared" si="7"/>
        <v>73500.462453785018</v>
      </c>
      <c r="T22" s="132">
        <f t="shared" si="8"/>
        <v>74191.745718229955</v>
      </c>
      <c r="U22" s="132">
        <f t="shared" si="9"/>
        <v>74442.57528567937</v>
      </c>
      <c r="V22" s="132">
        <f t="shared" si="15"/>
        <v>19932.328801026451</v>
      </c>
      <c r="W22" s="132">
        <f t="shared" si="16"/>
        <v>20119.795449011508</v>
      </c>
      <c r="X22" s="132">
        <f t="shared" si="17"/>
        <v>20187.817026624907</v>
      </c>
      <c r="Y22" s="132">
        <f t="shared" si="18"/>
        <v>60239.941276662867</v>
      </c>
      <c r="Z22" s="138">
        <f t="shared" si="19"/>
        <v>12.302259864234586</v>
      </c>
    </row>
    <row r="23" spans="1:26" outlineLevel="1" x14ac:dyDescent="0.3">
      <c r="A23" s="98" t="s">
        <v>18</v>
      </c>
      <c r="B23" s="132">
        <f>VLOOKUP(A23,Iedz_sk!$B$5:$Y$123,15,FALSE)</f>
        <v>3205</v>
      </c>
      <c r="C23" s="132">
        <f>VLOOKUP(A23,Iedz_sk!$B$5:$Y$123,16,FALSE)</f>
        <v>3124</v>
      </c>
      <c r="D23" s="132">
        <f>VLOOKUP(A23,Iedz_sk!$B$5:$Y$123,17,FALSE)</f>
        <v>3043</v>
      </c>
      <c r="E23" s="133">
        <f>VLOOKUP($A23,IKP!$Q$6:$AC$124,11,FALSE)</f>
        <v>30265.737744925846</v>
      </c>
      <c r="F23" s="133">
        <f>VLOOKUP($A23,IKP!$Q$6:$AC$124,12,FALSE)</f>
        <v>31740.582165515443</v>
      </c>
      <c r="G23" s="133">
        <f>VLOOKUP($A23,IKP!$Q$6:$AC$124,13,FALSE)</f>
        <v>32871.511039152654</v>
      </c>
      <c r="H23" s="132">
        <f>((-0.0000000006)*IKP!$J$5 + 0.0461)*E23</f>
        <v>830.94480060052717</v>
      </c>
      <c r="I23" s="132">
        <f>((-0.0000000006)*IKP!$K$5 + 0.0461)*F23</f>
        <v>841.25458809118902</v>
      </c>
      <c r="J23" s="132">
        <f>((-0.0000000006)*IKP!$L$5 + 0.0461)*G23</f>
        <v>846.75118684956612</v>
      </c>
      <c r="K23" s="132">
        <f t="shared" si="0"/>
        <v>199.42675214412651</v>
      </c>
      <c r="L23" s="132">
        <f t="shared" si="1"/>
        <v>201.90110114188539</v>
      </c>
      <c r="M23" s="132">
        <f t="shared" si="2"/>
        <v>203.22028484389588</v>
      </c>
      <c r="N23" s="137">
        <f>VLOOKUP(A23,NSAmaksa_2021!$A$4:$N$138,12,FALSE)</f>
        <v>121.726</v>
      </c>
      <c r="O23" s="137">
        <f>VLOOKUP(A23,NSAmaksa_2021!$A$4:$N$138,14,FALSE)</f>
        <v>56.805466666666675</v>
      </c>
      <c r="P23" s="132">
        <f t="shared" si="4"/>
        <v>60688.552078739864</v>
      </c>
      <c r="Q23" s="132">
        <f t="shared" si="5"/>
        <v>61441.533593992841</v>
      </c>
      <c r="R23" s="132">
        <f t="shared" si="6"/>
        <v>61842.980982270172</v>
      </c>
      <c r="S23" s="132">
        <f t="shared" si="7"/>
        <v>47741.660968608689</v>
      </c>
      <c r="T23" s="132">
        <f t="shared" si="8"/>
        <v>48334.006427274369</v>
      </c>
      <c r="U23" s="132">
        <f t="shared" si="9"/>
        <v>48649.81170605254</v>
      </c>
      <c r="V23" s="132">
        <f t="shared" si="15"/>
        <v>12946.891110131175</v>
      </c>
      <c r="W23" s="132">
        <f t="shared" si="16"/>
        <v>13107.527166718472</v>
      </c>
      <c r="X23" s="132">
        <f t="shared" si="17"/>
        <v>13193.169276217632</v>
      </c>
      <c r="Y23" s="132">
        <f t="shared" si="18"/>
        <v>39247.587553067278</v>
      </c>
      <c r="Z23" s="138">
        <f t="shared" si="19"/>
        <v>12.570922725667849</v>
      </c>
    </row>
    <row r="24" spans="1:26" outlineLevel="1" x14ac:dyDescent="0.3">
      <c r="A24" s="98" t="s">
        <v>19</v>
      </c>
      <c r="B24" s="132">
        <f>VLOOKUP(A24,Iedz_sk!$B$5:$Y$123,15,FALSE)</f>
        <v>6025</v>
      </c>
      <c r="C24" s="132">
        <f>VLOOKUP(A24,Iedz_sk!$B$5:$Y$123,16,FALSE)</f>
        <v>5878</v>
      </c>
      <c r="D24" s="132">
        <f>VLOOKUP(A24,Iedz_sk!$B$5:$Y$123,17,FALSE)</f>
        <v>5732</v>
      </c>
      <c r="E24" s="133">
        <f>VLOOKUP($A24,IKP!$Q$6:$AC$124,11,FALSE)</f>
        <v>51418.562907628322</v>
      </c>
      <c r="F24" s="133">
        <f>VLOOKUP($A24,IKP!$Q$6:$AC$124,12,FALSE)</f>
        <v>53594.189971918451</v>
      </c>
      <c r="G24" s="133">
        <f>VLOOKUP($A24,IKP!$Q$6:$AC$124,13,FALSE)</f>
        <v>55161.48362323633</v>
      </c>
      <c r="H24" s="132">
        <f>((-0.0000000006)*IKP!$J$5 + 0.0461)*E24</f>
        <v>1411.694896140704</v>
      </c>
      <c r="I24" s="132">
        <f>((-0.0000000006)*IKP!$K$5 + 0.0461)*F24</f>
        <v>1420.4641229892522</v>
      </c>
      <c r="J24" s="132">
        <f>((-0.0000000006)*IKP!$L$5 + 0.0461)*G24</f>
        <v>1420.9280391985985</v>
      </c>
      <c r="K24" s="132">
        <f t="shared" si="0"/>
        <v>338.80677507376896</v>
      </c>
      <c r="L24" s="132">
        <f t="shared" si="1"/>
        <v>340.9113895174205</v>
      </c>
      <c r="M24" s="132">
        <f t="shared" si="2"/>
        <v>341.02272940766363</v>
      </c>
      <c r="N24" s="137">
        <f>VLOOKUP(A24,NSAmaksa_2021!$A$4:$N$138,12,FALSE)</f>
        <v>90.8</v>
      </c>
      <c r="O24" s="137">
        <f>VLOOKUP(A24,NSAmaksa_2021!$A$4:$N$138,14,FALSE)</f>
        <v>42.373333333333335</v>
      </c>
      <c r="P24" s="132">
        <f t="shared" si="4"/>
        <v>76909.137941745546</v>
      </c>
      <c r="Q24" s="132">
        <f t="shared" si="5"/>
        <v>77386.885420454462</v>
      </c>
      <c r="R24" s="132">
        <f t="shared" si="6"/>
        <v>77412.159575539641</v>
      </c>
      <c r="S24" s="132">
        <f t="shared" si="7"/>
        <v>60501.855180839833</v>
      </c>
      <c r="T24" s="132">
        <f t="shared" si="8"/>
        <v>60877.683197424172</v>
      </c>
      <c r="U24" s="132">
        <f t="shared" si="9"/>
        <v>60897.56553275785</v>
      </c>
      <c r="V24" s="132">
        <f t="shared" si="15"/>
        <v>16407.282760905713</v>
      </c>
      <c r="W24" s="132">
        <f t="shared" si="16"/>
        <v>16509.20222303029</v>
      </c>
      <c r="X24" s="132">
        <f t="shared" si="17"/>
        <v>16514.594042781791</v>
      </c>
      <c r="Y24" s="132">
        <f t="shared" si="18"/>
        <v>49431.079026717794</v>
      </c>
      <c r="Z24" s="138">
        <f t="shared" si="19"/>
        <v>8.4129657096148165</v>
      </c>
    </row>
    <row r="25" spans="1:26" outlineLevel="1" x14ac:dyDescent="0.3">
      <c r="A25" s="98" t="s">
        <v>20</v>
      </c>
      <c r="B25" s="132">
        <f>VLOOKUP(A25,Iedz_sk!$B$5:$Y$123,15,FALSE)</f>
        <v>11824</v>
      </c>
      <c r="C25" s="132">
        <f>VLOOKUP(A25,Iedz_sk!$B$5:$Y$123,16,FALSE)</f>
        <v>12051</v>
      </c>
      <c r="D25" s="132">
        <f>VLOOKUP(A25,Iedz_sk!$B$5:$Y$123,17,FALSE)</f>
        <v>12277</v>
      </c>
      <c r="E25" s="133">
        <f>VLOOKUP($A25,IKP!$Q$6:$AC$124,11,FALSE)</f>
        <v>153394.16893274165</v>
      </c>
      <c r="F25" s="133">
        <f>VLOOKUP($A25,IKP!$Q$6:$AC$124,12,FALSE)</f>
        <v>164820.75920711004</v>
      </c>
      <c r="G25" s="133">
        <f>VLOOKUP($A25,IKP!$Q$6:$AC$124,13,FALSE)</f>
        <v>174833.34586820166</v>
      </c>
      <c r="H25" s="132">
        <f>((-0.0000000006)*IKP!$J$5 + 0.0461)*E25</f>
        <v>4211.4316918797085</v>
      </c>
      <c r="I25" s="132">
        <f>((-0.0000000006)*IKP!$K$5 + 0.0461)*F25</f>
        <v>4368.4208176338198</v>
      </c>
      <c r="J25" s="132">
        <f>((-0.0000000006)*IKP!$L$5 + 0.0461)*G25</f>
        <v>4503.606266789875</v>
      </c>
      <c r="K25" s="132">
        <f t="shared" si="0"/>
        <v>1010.7436060511301</v>
      </c>
      <c r="L25" s="132">
        <f t="shared" si="1"/>
        <v>1048.4209962321167</v>
      </c>
      <c r="M25" s="132">
        <f t="shared" si="2"/>
        <v>1080.86550402957</v>
      </c>
      <c r="N25" s="137">
        <f>VLOOKUP(A25,NSAmaksa_2021!$A$4:$N$138,12,FALSE)</f>
        <v>92.65</v>
      </c>
      <c r="O25" s="137">
        <f>VLOOKUP(A25,NSAmaksa_2021!$A$4:$N$138,14,FALSE)</f>
        <v>43.236666666666672</v>
      </c>
      <c r="P25" s="132">
        <f t="shared" si="4"/>
        <v>234113.487751593</v>
      </c>
      <c r="Q25" s="132">
        <f t="shared" si="5"/>
        <v>242840.51325226403</v>
      </c>
      <c r="R25" s="132">
        <f t="shared" si="6"/>
        <v>250355.47237084917</v>
      </c>
      <c r="S25" s="132">
        <f t="shared" si="7"/>
        <v>184169.27703125318</v>
      </c>
      <c r="T25" s="132">
        <f t="shared" si="8"/>
        <v>191034.53709178107</v>
      </c>
      <c r="U25" s="132">
        <f t="shared" si="9"/>
        <v>196946.30493173469</v>
      </c>
      <c r="V25" s="132">
        <f t="shared" si="15"/>
        <v>49944.210720339819</v>
      </c>
      <c r="W25" s="132">
        <f t="shared" si="16"/>
        <v>51805.976160482969</v>
      </c>
      <c r="X25" s="132">
        <f t="shared" si="17"/>
        <v>53409.167439114477</v>
      </c>
      <c r="Y25" s="132">
        <f t="shared" si="18"/>
        <v>155159.35431993727</v>
      </c>
      <c r="Z25" s="138">
        <f t="shared" si="19"/>
        <v>12.873207009449757</v>
      </c>
    </row>
    <row r="26" spans="1:26" outlineLevel="1" x14ac:dyDescent="0.3">
      <c r="A26" s="98" t="s">
        <v>21</v>
      </c>
      <c r="B26" s="132">
        <f>VLOOKUP(A26,Iedz_sk!$B$5:$Y$123,15,FALSE)</f>
        <v>11247</v>
      </c>
      <c r="C26" s="132">
        <f>VLOOKUP(A26,Iedz_sk!$B$5:$Y$123,16,FALSE)</f>
        <v>11352</v>
      </c>
      <c r="D26" s="132">
        <f>VLOOKUP(A26,Iedz_sk!$B$5:$Y$123,17,FALSE)</f>
        <v>11457</v>
      </c>
      <c r="E26" s="133">
        <f>VLOOKUP($A26,IKP!$Q$6:$AC$124,11,FALSE)</f>
        <v>145908.67878776602</v>
      </c>
      <c r="F26" s="133">
        <f>VLOOKUP($A26,IKP!$Q$6:$AC$124,12,FALSE)</f>
        <v>155260.58074177356</v>
      </c>
      <c r="G26" s="133">
        <f>VLOOKUP($A26,IKP!$Q$6:$AC$124,13,FALSE)</f>
        <v>163155.95370302079</v>
      </c>
      <c r="H26" s="132">
        <f>((-0.0000000006)*IKP!$J$5 + 0.0461)*E26</f>
        <v>4005.9178144934945</v>
      </c>
      <c r="I26" s="132">
        <f>((-0.0000000006)*IKP!$K$5 + 0.0461)*F26</f>
        <v>4115.0371854434588</v>
      </c>
      <c r="J26" s="132">
        <f>((-0.0000000006)*IKP!$L$5 + 0.0461)*G26</f>
        <v>4202.8033720462317</v>
      </c>
      <c r="K26" s="132">
        <f t="shared" si="0"/>
        <v>961.42027547843873</v>
      </c>
      <c r="L26" s="132">
        <f t="shared" si="1"/>
        <v>987.60892450643018</v>
      </c>
      <c r="M26" s="132">
        <f t="shared" si="2"/>
        <v>1008.6728092910956</v>
      </c>
      <c r="N26" s="137">
        <f>VLOOKUP(A26,NSAmaksa_2021!$A$4:$N$138,12,FALSE)</f>
        <v>90.45</v>
      </c>
      <c r="O26" s="137">
        <f>VLOOKUP(A26,NSAmaksa_2021!$A$4:$N$138,14,FALSE)</f>
        <v>42.21</v>
      </c>
      <c r="P26" s="132">
        <f t="shared" si="4"/>
        <v>217401.15979256196</v>
      </c>
      <c r="Q26" s="132">
        <f t="shared" si="5"/>
        <v>223323.0680540165</v>
      </c>
      <c r="R26" s="132">
        <f t="shared" si="6"/>
        <v>228086.13900094901</v>
      </c>
      <c r="S26" s="132">
        <f t="shared" si="7"/>
        <v>171022.24570348207</v>
      </c>
      <c r="T26" s="132">
        <f t="shared" si="8"/>
        <v>175680.81353582631</v>
      </c>
      <c r="U26" s="132">
        <f t="shared" si="9"/>
        <v>179427.76268074656</v>
      </c>
      <c r="V26" s="132">
        <f t="shared" si="15"/>
        <v>46378.914089079888</v>
      </c>
      <c r="W26" s="132">
        <f t="shared" si="16"/>
        <v>47642.254518190195</v>
      </c>
      <c r="X26" s="132">
        <f t="shared" si="17"/>
        <v>48658.376320202457</v>
      </c>
      <c r="Y26" s="132">
        <f t="shared" si="18"/>
        <v>142679.54492747254</v>
      </c>
      <c r="Z26" s="138">
        <f t="shared" si="19"/>
        <v>12.567529131189758</v>
      </c>
    </row>
    <row r="27" spans="1:26" outlineLevel="1" x14ac:dyDescent="0.3">
      <c r="A27" s="98" t="s">
        <v>22</v>
      </c>
      <c r="B27" s="132">
        <f>VLOOKUP(A27,Iedz_sk!$B$5:$Y$123,15,FALSE)</f>
        <v>5446</v>
      </c>
      <c r="C27" s="132">
        <f>VLOOKUP(A27,Iedz_sk!$B$5:$Y$123,16,FALSE)</f>
        <v>5471</v>
      </c>
      <c r="D27" s="132">
        <f>VLOOKUP(A27,Iedz_sk!$B$5:$Y$123,17,FALSE)</f>
        <v>5496</v>
      </c>
      <c r="E27" s="133">
        <f>VLOOKUP($A27,IKP!$Q$6:$AC$124,11,FALSE)</f>
        <v>70651.610623114946</v>
      </c>
      <c r="F27" s="133">
        <f>VLOOKUP($A27,IKP!$Q$6:$AC$124,12,FALSE)</f>
        <v>74826.518431839606</v>
      </c>
      <c r="G27" s="133">
        <f>VLOOKUP($A27,IKP!$Q$6:$AC$124,13,FALSE)</f>
        <v>78267.008951017051</v>
      </c>
      <c r="H27" s="132">
        <f>((-0.0000000006)*IKP!$J$5 + 0.0461)*E27</f>
        <v>1939.7375671496018</v>
      </c>
      <c r="I27" s="132">
        <f>((-0.0000000006)*IKP!$K$5 + 0.0461)*F27</f>
        <v>1983.2072270578899</v>
      </c>
      <c r="J27" s="132">
        <f>((-0.0000000006)*IKP!$L$5 + 0.0461)*G27</f>
        <v>2016.1130603793395</v>
      </c>
      <c r="K27" s="132">
        <f t="shared" si="0"/>
        <v>465.53701611590441</v>
      </c>
      <c r="L27" s="132">
        <f t="shared" si="1"/>
        <v>475.96973449389355</v>
      </c>
      <c r="M27" s="132">
        <f t="shared" si="2"/>
        <v>483.8671344910415</v>
      </c>
      <c r="N27" s="137">
        <f>VLOOKUP(A27,NSAmaksa_2021!$A$4:$N$138,12,FALSE)</f>
        <v>75.988</v>
      </c>
      <c r="O27" s="137">
        <f>VLOOKUP(A27,NSAmaksa_2021!$A$4:$N$138,14,FALSE)</f>
        <v>35.461066666666667</v>
      </c>
      <c r="P27" s="132">
        <f t="shared" si="4"/>
        <v>88438.066951538363</v>
      </c>
      <c r="Q27" s="132">
        <f t="shared" si="5"/>
        <v>90419.970461804958</v>
      </c>
      <c r="R27" s="132">
        <f t="shared" si="6"/>
        <v>91920.239539263144</v>
      </c>
      <c r="S27" s="132">
        <f t="shared" si="7"/>
        <v>69571.279335210173</v>
      </c>
      <c r="T27" s="132">
        <f t="shared" si="8"/>
        <v>71130.376763286564</v>
      </c>
      <c r="U27" s="132">
        <f t="shared" si="9"/>
        <v>72310.58843755367</v>
      </c>
      <c r="V27" s="132">
        <f t="shared" si="15"/>
        <v>18866.787616328191</v>
      </c>
      <c r="W27" s="132">
        <f t="shared" si="16"/>
        <v>19289.593698518394</v>
      </c>
      <c r="X27" s="132">
        <f t="shared" si="17"/>
        <v>19609.651101709474</v>
      </c>
      <c r="Y27" s="132">
        <f t="shared" si="18"/>
        <v>57766.03241655606</v>
      </c>
      <c r="Z27" s="138">
        <f t="shared" si="19"/>
        <v>10.558113915100581</v>
      </c>
    </row>
    <row r="28" spans="1:26" outlineLevel="1" x14ac:dyDescent="0.3">
      <c r="A28" s="98" t="s">
        <v>23</v>
      </c>
      <c r="B28" s="132">
        <f>VLOOKUP(A28,Iedz_sk!$B$5:$Y$123,15,FALSE)</f>
        <v>937</v>
      </c>
      <c r="C28" s="132">
        <f>VLOOKUP(A28,Iedz_sk!$B$5:$Y$123,16,FALSE)</f>
        <v>915</v>
      </c>
      <c r="D28" s="132">
        <f>VLOOKUP(A28,Iedz_sk!$B$5:$Y$123,17,FALSE)</f>
        <v>893</v>
      </c>
      <c r="E28" s="133">
        <f>VLOOKUP($A28,IKP!$Q$6:$AC$124,11,FALSE)</f>
        <v>6161.6194422005201</v>
      </c>
      <c r="F28" s="133">
        <f>VLOOKUP($A28,IKP!$Q$6:$AC$124,12,FALSE)</f>
        <v>6472.322322954763</v>
      </c>
      <c r="G28" s="133">
        <f>VLOOKUP($A28,IKP!$Q$6:$AC$124,13,FALSE)</f>
        <v>6714.4196307593284</v>
      </c>
      <c r="H28" s="132">
        <f>((-0.0000000006)*IKP!$J$5 + 0.0461)*E28</f>
        <v>169.16705225974616</v>
      </c>
      <c r="I28" s="132">
        <f>((-0.0000000006)*IKP!$K$5 + 0.0461)*F28</f>
        <v>171.54287912545905</v>
      </c>
      <c r="J28" s="132">
        <f>((-0.0000000006)*IKP!$L$5 + 0.0461)*G28</f>
        <v>172.95958146188229</v>
      </c>
      <c r="K28" s="132">
        <f t="shared" si="0"/>
        <v>40.600092542339077</v>
      </c>
      <c r="L28" s="132">
        <f t="shared" si="1"/>
        <v>41.170290990110175</v>
      </c>
      <c r="M28" s="132">
        <f t="shared" si="2"/>
        <v>41.510299550851748</v>
      </c>
      <c r="N28" s="137">
        <f>VLOOKUP(A28,NSAmaksa_2021!$A$4:$N$138,12,FALSE)</f>
        <v>121.726</v>
      </c>
      <c r="O28" s="137">
        <f>VLOOKUP(A28,NSAmaksa_2021!$A$4:$N$138,14,FALSE)</f>
        <v>56.805466666666675</v>
      </c>
      <c r="P28" s="132">
        <f t="shared" si="4"/>
        <v>12355.217162021916</v>
      </c>
      <c r="Q28" s="132">
        <f t="shared" si="5"/>
        <v>12528.737102655376</v>
      </c>
      <c r="R28" s="132">
        <f t="shared" si="6"/>
        <v>12632.206807817451</v>
      </c>
      <c r="S28" s="132">
        <f t="shared" si="7"/>
        <v>9719.4375007905728</v>
      </c>
      <c r="T28" s="132">
        <f t="shared" si="8"/>
        <v>9855.939854088896</v>
      </c>
      <c r="U28" s="132">
        <f t="shared" si="9"/>
        <v>9937.3360221497278</v>
      </c>
      <c r="V28" s="132">
        <f t="shared" si="15"/>
        <v>2635.7796612313432</v>
      </c>
      <c r="W28" s="132">
        <f t="shared" si="16"/>
        <v>2672.7972485664795</v>
      </c>
      <c r="X28" s="132">
        <f t="shared" si="17"/>
        <v>2694.8707856677229</v>
      </c>
      <c r="Y28" s="132">
        <f t="shared" si="18"/>
        <v>8003.4476954655456</v>
      </c>
      <c r="Z28" s="138">
        <f t="shared" si="19"/>
        <v>8.7518608967198084</v>
      </c>
    </row>
    <row r="29" spans="1:26" outlineLevel="1" x14ac:dyDescent="0.3">
      <c r="A29" s="98" t="s">
        <v>24</v>
      </c>
      <c r="B29" s="132">
        <f>VLOOKUP(A29,Iedz_sk!$B$5:$Y$123,15,FALSE)</f>
        <v>11576</v>
      </c>
      <c r="C29" s="132">
        <f>VLOOKUP(A29,Iedz_sk!$B$5:$Y$123,16,FALSE)</f>
        <v>11292</v>
      </c>
      <c r="D29" s="132">
        <f>VLOOKUP(A29,Iedz_sk!$B$5:$Y$123,17,FALSE)</f>
        <v>11008</v>
      </c>
      <c r="E29" s="133">
        <f>VLOOKUP($A29,IKP!$Q$6:$AC$124,11,FALSE)</f>
        <v>76122.632511113363</v>
      </c>
      <c r="F29" s="133">
        <f>VLOOKUP($A29,IKP!$Q$6:$AC$124,12,FALSE)</f>
        <v>79874.823683940092</v>
      </c>
      <c r="G29" s="133">
        <f>VLOOKUP($A29,IKP!$Q$6:$AC$124,13,FALSE)</f>
        <v>82768.568079953737</v>
      </c>
      <c r="H29" s="132">
        <f>((-0.0000000006)*IKP!$J$5 + 0.0461)*E29</f>
        <v>2089.9442870424991</v>
      </c>
      <c r="I29" s="132">
        <f>((-0.0000000006)*IKP!$K$5 + 0.0461)*F29</f>
        <v>2117.0078591089436</v>
      </c>
      <c r="J29" s="132">
        <f>((-0.0000000006)*IKP!$L$5 + 0.0461)*G29</f>
        <v>2132.0706301594628</v>
      </c>
      <c r="K29" s="132">
        <f t="shared" si="0"/>
        <v>501.58662889019979</v>
      </c>
      <c r="L29" s="132">
        <f t="shared" si="1"/>
        <v>508.08188618614651</v>
      </c>
      <c r="M29" s="132">
        <f t="shared" si="2"/>
        <v>511.69695123827108</v>
      </c>
      <c r="N29" s="137">
        <f>VLOOKUP(A29,NSAmaksa_2021!$A$4:$N$138,12,FALSE)</f>
        <v>115.13799999999999</v>
      </c>
      <c r="O29" s="137">
        <f>VLOOKUP(A29,NSAmaksa_2021!$A$4:$N$138,14,FALSE)</f>
        <v>53.731066666666663</v>
      </c>
      <c r="P29" s="132">
        <f t="shared" si="4"/>
        <v>144379.20319289956</v>
      </c>
      <c r="Q29" s="132">
        <f t="shared" si="5"/>
        <v>146248.83052925134</v>
      </c>
      <c r="R29" s="132">
        <f t="shared" si="6"/>
        <v>147289.40892918012</v>
      </c>
      <c r="S29" s="132">
        <f t="shared" si="7"/>
        <v>113578.30651174764</v>
      </c>
      <c r="T29" s="132">
        <f t="shared" si="8"/>
        <v>115049.08001634436</v>
      </c>
      <c r="U29" s="132">
        <f t="shared" si="9"/>
        <v>115867.66835762169</v>
      </c>
      <c r="V29" s="132">
        <f t="shared" si="15"/>
        <v>30800.89668115192</v>
      </c>
      <c r="W29" s="132">
        <f t="shared" si="16"/>
        <v>31199.750512906976</v>
      </c>
      <c r="X29" s="132">
        <f t="shared" si="17"/>
        <v>31421.740571558432</v>
      </c>
      <c r="Y29" s="132">
        <f t="shared" si="18"/>
        <v>93422.387765617328</v>
      </c>
      <c r="Z29" s="138">
        <f t="shared" si="19"/>
        <v>8.278196604887416</v>
      </c>
    </row>
    <row r="30" spans="1:26" outlineLevel="1" x14ac:dyDescent="0.3">
      <c r="A30" s="98" t="s">
        <v>25</v>
      </c>
      <c r="B30" s="132">
        <f>VLOOKUP(A30,Iedz_sk!$B$5:$Y$123,15,FALSE)</f>
        <v>22259</v>
      </c>
      <c r="C30" s="132">
        <f>VLOOKUP(A30,Iedz_sk!$B$5:$Y$123,16,FALSE)</f>
        <v>21899</v>
      </c>
      <c r="D30" s="132">
        <f>VLOOKUP(A30,Iedz_sk!$B$5:$Y$123,17,FALSE)</f>
        <v>21539</v>
      </c>
      <c r="E30" s="133">
        <f>VLOOKUP($A30,IKP!$Q$6:$AC$124,11,FALSE)</f>
        <v>189962.78701425708</v>
      </c>
      <c r="F30" s="133">
        <f>VLOOKUP($A30,IKP!$Q$6:$AC$124,12,FALSE)</f>
        <v>199669.81391545461</v>
      </c>
      <c r="G30" s="133">
        <f>VLOOKUP($A30,IKP!$Q$6:$AC$124,13,FALSE)</f>
        <v>207278.99437559093</v>
      </c>
      <c r="H30" s="132">
        <f>((-0.0000000006)*IKP!$J$5 + 0.0461)*E30</f>
        <v>5215.4218577918564</v>
      </c>
      <c r="I30" s="132">
        <f>((-0.0000000006)*IKP!$K$5 + 0.0461)*F30</f>
        <v>5292.0625772952762</v>
      </c>
      <c r="J30" s="132">
        <f>((-0.0000000006)*IKP!$L$5 + 0.0461)*G30</f>
        <v>5339.3874801637494</v>
      </c>
      <c r="K30" s="132">
        <f t="shared" si="0"/>
        <v>1251.7012458700453</v>
      </c>
      <c r="L30" s="132">
        <f t="shared" si="1"/>
        <v>1270.0950185508664</v>
      </c>
      <c r="M30" s="132">
        <f t="shared" si="2"/>
        <v>1281.4529952392998</v>
      </c>
      <c r="N30" s="137">
        <f>VLOOKUP(A30,NSAmaksa_2021!$A$4:$N$138,12,FALSE)</f>
        <v>120.8</v>
      </c>
      <c r="O30" s="137">
        <f>VLOOKUP(A30,NSAmaksa_2021!$A$4:$N$138,14,FALSE)</f>
        <v>41.533333333333339</v>
      </c>
      <c r="P30" s="132">
        <f t="shared" si="4"/>
        <v>378013.77625275374</v>
      </c>
      <c r="Q30" s="132">
        <f t="shared" si="5"/>
        <v>383568.69560236158</v>
      </c>
      <c r="R30" s="132">
        <f t="shared" si="6"/>
        <v>386998.80456226855</v>
      </c>
      <c r="S30" s="132">
        <f t="shared" si="7"/>
        <v>278795.59083012148</v>
      </c>
      <c r="T30" s="132">
        <f t="shared" si="8"/>
        <v>282892.49713189626</v>
      </c>
      <c r="U30" s="132">
        <f t="shared" si="9"/>
        <v>285422.29713963339</v>
      </c>
      <c r="V30" s="132">
        <f t="shared" si="15"/>
        <v>99218.185422632261</v>
      </c>
      <c r="W30" s="132">
        <f t="shared" si="16"/>
        <v>100676.19847046532</v>
      </c>
      <c r="X30" s="132">
        <f t="shared" si="17"/>
        <v>101576.50742263516</v>
      </c>
      <c r="Y30" s="132">
        <f t="shared" si="18"/>
        <v>301470.89131573273</v>
      </c>
      <c r="Z30" s="138">
        <f t="shared" si="19"/>
        <v>13.770672121051785</v>
      </c>
    </row>
    <row r="31" spans="1:26" outlineLevel="1" x14ac:dyDescent="0.3">
      <c r="A31" s="98" t="s">
        <v>26</v>
      </c>
      <c r="B31" s="132">
        <f>VLOOKUP(A31,Iedz_sk!$B$5:$Y$123,15,FALSE)</f>
        <v>2948</v>
      </c>
      <c r="C31" s="132">
        <f>VLOOKUP(A31,Iedz_sk!$B$5:$Y$123,16,FALSE)</f>
        <v>2895</v>
      </c>
      <c r="D31" s="132">
        <f>VLOOKUP(A31,Iedz_sk!$B$5:$Y$123,17,FALSE)</f>
        <v>2842</v>
      </c>
      <c r="E31" s="133">
        <f>VLOOKUP($A31,IKP!$Q$6:$AC$124,11,FALSE)</f>
        <v>27838.812752587019</v>
      </c>
      <c r="F31" s="133">
        <f>VLOOKUP($A31,IKP!$Q$6:$AC$124,12,FALSE)</f>
        <v>29413.887762217419</v>
      </c>
      <c r="G31" s="133">
        <f>VLOOKUP($A31,IKP!$Q$6:$AC$124,13,FALSE)</f>
        <v>30700.24133199863</v>
      </c>
      <c r="H31" s="132">
        <f>((-0.0000000006)*IKP!$J$5 + 0.0461)*E31</f>
        <v>764.31365746344909</v>
      </c>
      <c r="I31" s="132">
        <f>((-0.0000000006)*IKP!$K$5 + 0.0461)*F31</f>
        <v>779.58771847759044</v>
      </c>
      <c r="J31" s="132">
        <f>((-0.0000000006)*IKP!$L$5 + 0.0461)*G31</f>
        <v>790.82053007770833</v>
      </c>
      <c r="K31" s="132">
        <f t="shared" si="0"/>
        <v>183.43527779122778</v>
      </c>
      <c r="L31" s="132">
        <f t="shared" si="1"/>
        <v>187.10105243462172</v>
      </c>
      <c r="M31" s="132">
        <f t="shared" si="2"/>
        <v>189.79692721865001</v>
      </c>
      <c r="N31" s="137">
        <f>VLOOKUP(A31,NSAmaksa_2021!$A$4:$N$138,12,FALSE)</f>
        <v>123.84350000000001</v>
      </c>
      <c r="O31" s="137">
        <f>VLOOKUP(A31,NSAmaksa_2021!$A$4:$N$138,14,FALSE)</f>
        <v>57.793633333333325</v>
      </c>
      <c r="P31" s="132">
        <f t="shared" si="4"/>
        <v>56793.167062844797</v>
      </c>
      <c r="Q31" s="132">
        <f t="shared" si="5"/>
        <v>57928.122967967684</v>
      </c>
      <c r="R31" s="132">
        <f t="shared" si="6"/>
        <v>58762.789390007201</v>
      </c>
      <c r="S31" s="132">
        <f t="shared" si="7"/>
        <v>44677.291422771232</v>
      </c>
      <c r="T31" s="132">
        <f t="shared" si="8"/>
        <v>45570.123401467907</v>
      </c>
      <c r="U31" s="132">
        <f t="shared" si="9"/>
        <v>46226.727653472335</v>
      </c>
      <c r="V31" s="132">
        <f t="shared" si="15"/>
        <v>12115.875640073566</v>
      </c>
      <c r="W31" s="132">
        <f t="shared" si="16"/>
        <v>12357.999566499777</v>
      </c>
      <c r="X31" s="132">
        <f t="shared" si="17"/>
        <v>12536.061736534866</v>
      </c>
      <c r="Y31" s="132">
        <f t="shared" si="18"/>
        <v>37009.936943108209</v>
      </c>
      <c r="Z31" s="138">
        <f t="shared" si="19"/>
        <v>12.789601798927482</v>
      </c>
    </row>
    <row r="32" spans="1:26" outlineLevel="1" x14ac:dyDescent="0.3">
      <c r="A32" s="98" t="s">
        <v>27</v>
      </c>
      <c r="B32" s="132">
        <f>VLOOKUP(A32,Iedz_sk!$B$5:$Y$123,15,FALSE)</f>
        <v>5672</v>
      </c>
      <c r="C32" s="132">
        <f>VLOOKUP(A32,Iedz_sk!$B$5:$Y$123,16,FALSE)</f>
        <v>5556</v>
      </c>
      <c r="D32" s="132">
        <f>VLOOKUP(A32,Iedz_sk!$B$5:$Y$123,17,FALSE)</f>
        <v>5440</v>
      </c>
      <c r="E32" s="133">
        <f>VLOOKUP($A32,IKP!$Q$6:$AC$124,11,FALSE)</f>
        <v>54344.370332916398</v>
      </c>
      <c r="F32" s="133">
        <f>VLOOKUP($A32,IKP!$Q$6:$AC$124,12,FALSE)</f>
        <v>56963.731214438187</v>
      </c>
      <c r="G32" s="133">
        <f>VLOOKUP($A32,IKP!$Q$6:$AC$124,13,FALSE)</f>
        <v>58964.069854419598</v>
      </c>
      <c r="H32" s="132">
        <f>((-0.0000000006)*IKP!$J$5 + 0.0461)*E32</f>
        <v>1492.0228395099068</v>
      </c>
      <c r="I32" s="132">
        <f>((-0.0000000006)*IKP!$K$5 + 0.0461)*F32</f>
        <v>1509.7706774579319</v>
      </c>
      <c r="J32" s="132">
        <f>((-0.0000000006)*IKP!$L$5 + 0.0461)*G32</f>
        <v>1518.8804698160154</v>
      </c>
      <c r="K32" s="132">
        <f t="shared" si="0"/>
        <v>358.08548148237759</v>
      </c>
      <c r="L32" s="132">
        <f t="shared" si="1"/>
        <v>362.34496258990367</v>
      </c>
      <c r="M32" s="132">
        <f t="shared" si="2"/>
        <v>364.53131275584371</v>
      </c>
      <c r="N32" s="137">
        <f>VLOOKUP(A32,NSAmaksa_2021!$A$4:$N$138,12,FALSE)</f>
        <v>118.6</v>
      </c>
      <c r="O32" s="137">
        <f>VLOOKUP(A32,NSAmaksa_2021!$A$4:$N$138,14,FALSE)</f>
        <v>55.346666666666664</v>
      </c>
      <c r="P32" s="132">
        <f t="shared" si="4"/>
        <v>106172.34525952497</v>
      </c>
      <c r="Q32" s="132">
        <f t="shared" si="5"/>
        <v>107435.28140790643</v>
      </c>
      <c r="R32" s="132">
        <f t="shared" si="6"/>
        <v>108083.53423210765</v>
      </c>
      <c r="S32" s="132">
        <f t="shared" si="7"/>
        <v>83522.244937492971</v>
      </c>
      <c r="T32" s="132">
        <f t="shared" si="8"/>
        <v>84515.754707553046</v>
      </c>
      <c r="U32" s="132">
        <f t="shared" si="9"/>
        <v>85025.713595924681</v>
      </c>
      <c r="V32" s="132">
        <f t="shared" si="15"/>
        <v>22650.100322031998</v>
      </c>
      <c r="W32" s="132">
        <f t="shared" si="16"/>
        <v>22919.526700353381</v>
      </c>
      <c r="X32" s="132">
        <f t="shared" si="17"/>
        <v>23057.820636182965</v>
      </c>
      <c r="Y32" s="132">
        <f t="shared" si="18"/>
        <v>68627.447658568344</v>
      </c>
      <c r="Z32" s="138">
        <f t="shared" si="19"/>
        <v>12.357072871539236</v>
      </c>
    </row>
    <row r="33" spans="1:26" outlineLevel="1" x14ac:dyDescent="0.3">
      <c r="A33" s="98" t="s">
        <v>28</v>
      </c>
      <c r="B33" s="132">
        <f>VLOOKUP(A33,Iedz_sk!$B$5:$Y$123,15,FALSE)</f>
        <v>7410</v>
      </c>
      <c r="C33" s="132">
        <f>VLOOKUP(A33,Iedz_sk!$B$5:$Y$123,16,FALSE)</f>
        <v>7314</v>
      </c>
      <c r="D33" s="132">
        <f>VLOOKUP(A33,Iedz_sk!$B$5:$Y$123,17,FALSE)</f>
        <v>7218</v>
      </c>
      <c r="E33" s="133">
        <f>VLOOKUP($A33,IKP!$Q$6:$AC$124,11,FALSE)</f>
        <v>69974.763397784875</v>
      </c>
      <c r="F33" s="133">
        <f>VLOOKUP($A33,IKP!$Q$6:$AC$124,12,FALSE)</f>
        <v>74311.977579571045</v>
      </c>
      <c r="G33" s="133">
        <f>VLOOKUP($A33,IKP!$Q$6:$AC$124,13,FALSE)</f>
        <v>77971.267394217488</v>
      </c>
      <c r="H33" s="132">
        <f>((-0.0000000006)*IKP!$J$5 + 0.0461)*E33</f>
        <v>1921.1547495943546</v>
      </c>
      <c r="I33" s="132">
        <f>((-0.0000000006)*IKP!$K$5 + 0.0461)*F33</f>
        <v>1969.569800671881</v>
      </c>
      <c r="J33" s="132">
        <f>((-0.0000000006)*IKP!$L$5 + 0.0461)*G33</f>
        <v>2008.4949282550665</v>
      </c>
      <c r="K33" s="132">
        <f t="shared" si="0"/>
        <v>461.07713990264506</v>
      </c>
      <c r="L33" s="132">
        <f t="shared" si="1"/>
        <v>472.69675216125142</v>
      </c>
      <c r="M33" s="132">
        <f t="shared" si="2"/>
        <v>482.03878278121601</v>
      </c>
      <c r="N33" s="137">
        <f>VLOOKUP(A33,NSAmaksa_2021!$A$4:$N$138,12,FALSE)</f>
        <v>123.84350000000001</v>
      </c>
      <c r="O33" s="137">
        <f>VLOOKUP(A33,NSAmaksa_2021!$A$4:$N$138,14,FALSE)</f>
        <v>57.793633333333325</v>
      </c>
      <c r="P33" s="132">
        <f t="shared" si="4"/>
        <v>142753.51693883308</v>
      </c>
      <c r="Q33" s="132">
        <f t="shared" si="5"/>
        <v>146351.05056570485</v>
      </c>
      <c r="R33" s="132">
        <f t="shared" si="6"/>
        <v>149243.42498841378</v>
      </c>
      <c r="S33" s="132">
        <f t="shared" si="7"/>
        <v>112299.43332521533</v>
      </c>
      <c r="T33" s="132">
        <f t="shared" si="8"/>
        <v>115129.49311168783</v>
      </c>
      <c r="U33" s="132">
        <f t="shared" si="9"/>
        <v>117404.82765755219</v>
      </c>
      <c r="V33" s="132">
        <f t="shared" si="15"/>
        <v>30454.083613617753</v>
      </c>
      <c r="W33" s="132">
        <f t="shared" si="16"/>
        <v>31221.55745401702</v>
      </c>
      <c r="X33" s="132">
        <f t="shared" si="17"/>
        <v>31838.597330861594</v>
      </c>
      <c r="Y33" s="132">
        <f t="shared" si="18"/>
        <v>93514.238398496367</v>
      </c>
      <c r="Z33" s="138">
        <f t="shared" si="19"/>
        <v>12.789601798927478</v>
      </c>
    </row>
    <row r="34" spans="1:26" outlineLevel="1" x14ac:dyDescent="0.3">
      <c r="A34" s="98" t="s">
        <v>29</v>
      </c>
      <c r="B34" s="132">
        <f>VLOOKUP(A34,Iedz_sk!$B$5:$Y$123,15,FALSE)</f>
        <v>9310</v>
      </c>
      <c r="C34" s="132">
        <f>VLOOKUP(A34,Iedz_sk!$B$5:$Y$123,16,FALSE)</f>
        <v>9290</v>
      </c>
      <c r="D34" s="132">
        <f>VLOOKUP(A34,Iedz_sk!$B$5:$Y$123,17,FALSE)</f>
        <v>9269</v>
      </c>
      <c r="E34" s="133">
        <f>VLOOKUP($A34,IKP!$Q$6:$AC$124,11,FALSE)</f>
        <v>120779.74566676462</v>
      </c>
      <c r="F34" s="133">
        <f>VLOOKUP($A34,IKP!$Q$6:$AC$124,12,FALSE)</f>
        <v>127058.73811584535</v>
      </c>
      <c r="G34" s="133">
        <f>VLOOKUP($A34,IKP!$Q$6:$AC$124,13,FALSE)</f>
        <v>131997.25363300164</v>
      </c>
      <c r="H34" s="132">
        <f>((-0.0000000006)*IKP!$J$5 + 0.0461)*E34</f>
        <v>3316.0038101657715</v>
      </c>
      <c r="I34" s="132">
        <f>((-0.0000000006)*IKP!$K$5 + 0.0461)*F34</f>
        <v>3367.5735952052269</v>
      </c>
      <c r="J34" s="132">
        <f>((-0.0000000006)*IKP!$L$5 + 0.0461)*G34</f>
        <v>3400.1732089985621</v>
      </c>
      <c r="K34" s="132">
        <f t="shared" si="0"/>
        <v>795.84091443978514</v>
      </c>
      <c r="L34" s="132">
        <f t="shared" si="1"/>
        <v>808.21766284925445</v>
      </c>
      <c r="M34" s="132">
        <f t="shared" si="2"/>
        <v>816.04157015965495</v>
      </c>
      <c r="N34" s="137">
        <f>VLOOKUP(A34,NSAmaksa_2021!$A$4:$N$138,12,FALSE)</f>
        <v>79.05</v>
      </c>
      <c r="O34" s="137">
        <f>VLOOKUP(A34,NSAmaksa_2021!$A$4:$N$138,14,FALSE)</f>
        <v>36.89</v>
      </c>
      <c r="P34" s="132">
        <f t="shared" si="4"/>
        <v>157278.06071616252</v>
      </c>
      <c r="Q34" s="132">
        <f t="shared" si="5"/>
        <v>159724.0156205839</v>
      </c>
      <c r="R34" s="132">
        <f t="shared" si="6"/>
        <v>161270.21530280178</v>
      </c>
      <c r="S34" s="132">
        <f t="shared" si="7"/>
        <v>123725.4077633812</v>
      </c>
      <c r="T34" s="132">
        <f t="shared" si="8"/>
        <v>125649.55895485933</v>
      </c>
      <c r="U34" s="132">
        <f t="shared" si="9"/>
        <v>126865.90270487074</v>
      </c>
      <c r="V34" s="132">
        <f t="shared" si="15"/>
        <v>33552.652952781325</v>
      </c>
      <c r="W34" s="132">
        <f t="shared" si="16"/>
        <v>34074.456665724574</v>
      </c>
      <c r="X34" s="132">
        <f t="shared" si="17"/>
        <v>34404.312597931043</v>
      </c>
      <c r="Y34" s="132">
        <f t="shared" si="18"/>
        <v>102031.42221643694</v>
      </c>
      <c r="Z34" s="138">
        <f t="shared" si="19"/>
        <v>10.983561943842457</v>
      </c>
    </row>
    <row r="35" spans="1:26" outlineLevel="1" x14ac:dyDescent="0.3">
      <c r="A35" s="98" t="s">
        <v>30</v>
      </c>
      <c r="B35" s="132">
        <f>VLOOKUP(A35,Iedz_sk!$B$5:$Y$123,15,FALSE)</f>
        <v>2253</v>
      </c>
      <c r="C35" s="132">
        <f>VLOOKUP(A35,Iedz_sk!$B$5:$Y$123,16,FALSE)</f>
        <v>2198</v>
      </c>
      <c r="D35" s="132">
        <f>VLOOKUP(A35,Iedz_sk!$B$5:$Y$123,17,FALSE)</f>
        <v>2144</v>
      </c>
      <c r="E35" s="133">
        <f>VLOOKUP($A35,IKP!$Q$6:$AC$124,11,FALSE)</f>
        <v>21275.727656573457</v>
      </c>
      <c r="F35" s="133">
        <f>VLOOKUP($A35,IKP!$Q$6:$AC$124,12,FALSE)</f>
        <v>22332.202176633466</v>
      </c>
      <c r="G35" s="133">
        <f>VLOOKUP($A35,IKP!$Q$6:$AC$124,13,FALSE)</f>
        <v>23160.210209642879</v>
      </c>
      <c r="H35" s="132">
        <f>((-0.0000000006)*IKP!$J$5 + 0.0461)*E35</f>
        <v>584.1243793301054</v>
      </c>
      <c r="I35" s="132">
        <f>((-0.0000000006)*IKP!$K$5 + 0.0461)*F35</f>
        <v>591.89423323445374</v>
      </c>
      <c r="J35" s="132">
        <f>((-0.0000000006)*IKP!$L$5 + 0.0461)*G35</f>
        <v>596.59367223314803</v>
      </c>
      <c r="K35" s="132">
        <f t="shared" si="0"/>
        <v>140.18985103922529</v>
      </c>
      <c r="L35" s="132">
        <f t="shared" si="1"/>
        <v>142.05461597626891</v>
      </c>
      <c r="M35" s="132">
        <f t="shared" si="2"/>
        <v>143.18248133595552</v>
      </c>
      <c r="N35" s="137">
        <f>VLOOKUP(A35,NSAmaksa_2021!$A$4:$N$138,12,FALSE)</f>
        <v>126.15</v>
      </c>
      <c r="O35" s="137">
        <f>VLOOKUP(A35,NSAmaksa_2021!$A$4:$N$138,14,FALSE)</f>
        <v>58.870000000000005</v>
      </c>
      <c r="P35" s="132">
        <f t="shared" si="4"/>
        <v>44212.374271495682</v>
      </c>
      <c r="Q35" s="132">
        <f t="shared" si="5"/>
        <v>44800.474513515801</v>
      </c>
      <c r="R35" s="132">
        <f t="shared" si="6"/>
        <v>45156.175051326973</v>
      </c>
      <c r="S35" s="132">
        <f t="shared" si="7"/>
        <v>34780.401093576598</v>
      </c>
      <c r="T35" s="132">
        <f t="shared" si="8"/>
        <v>35243.039950632432</v>
      </c>
      <c r="U35" s="132">
        <f t="shared" si="9"/>
        <v>35522.857707043884</v>
      </c>
      <c r="V35" s="132">
        <f t="shared" si="15"/>
        <v>9431.9731779190843</v>
      </c>
      <c r="W35" s="132">
        <f t="shared" si="16"/>
        <v>9557.4345628833689</v>
      </c>
      <c r="X35" s="132">
        <f t="shared" si="17"/>
        <v>9633.3173442830885</v>
      </c>
      <c r="Y35" s="132">
        <f t="shared" si="18"/>
        <v>28622.725085085542</v>
      </c>
      <c r="Z35" s="138">
        <f t="shared" si="19"/>
        <v>13.027799334924332</v>
      </c>
    </row>
    <row r="36" spans="1:26" outlineLevel="1" x14ac:dyDescent="0.3">
      <c r="A36" s="98" t="s">
        <v>31</v>
      </c>
      <c r="B36" s="132">
        <f>VLOOKUP(A36,Iedz_sk!$B$5:$Y$123,15,FALSE)</f>
        <v>16143</v>
      </c>
      <c r="C36" s="132">
        <f>VLOOKUP(A36,Iedz_sk!$B$5:$Y$123,16,FALSE)</f>
        <v>15785</v>
      </c>
      <c r="D36" s="132">
        <f>VLOOKUP(A36,Iedz_sk!$B$5:$Y$123,17,FALSE)</f>
        <v>15426</v>
      </c>
      <c r="E36" s="133">
        <f>VLOOKUP($A36,IKP!$Q$6:$AC$124,11,FALSE)</f>
        <v>152442.99669776534</v>
      </c>
      <c r="F36" s="133">
        <f>VLOOKUP($A36,IKP!$Q$6:$AC$124,12,FALSE)</f>
        <v>160379.35002646007</v>
      </c>
      <c r="G36" s="133">
        <f>VLOOKUP($A36,IKP!$Q$6:$AC$124,13,FALSE)</f>
        <v>166636.84827143239</v>
      </c>
      <c r="H36" s="132">
        <f>((-0.0000000006)*IKP!$J$5 + 0.0461)*E36</f>
        <v>4185.317290513045</v>
      </c>
      <c r="I36" s="132">
        <f>((-0.0000000006)*IKP!$K$5 + 0.0461)*F36</f>
        <v>4250.705401094564</v>
      </c>
      <c r="J36" s="132">
        <f>((-0.0000000006)*IKP!$L$5 + 0.0461)*G36</f>
        <v>4292.4692107595811</v>
      </c>
      <c r="K36" s="132">
        <f t="shared" si="0"/>
        <v>1004.4761497231308</v>
      </c>
      <c r="L36" s="132">
        <f t="shared" si="1"/>
        <v>1020.1692962626954</v>
      </c>
      <c r="M36" s="132">
        <f t="shared" si="2"/>
        <v>1030.1926105822995</v>
      </c>
      <c r="N36" s="137">
        <f>VLOOKUP(A36,NSAmaksa_2021!$A$4:$N$138,12,FALSE)</f>
        <v>121.96799999999999</v>
      </c>
      <c r="O36" s="137">
        <f>VLOOKUP(A36,NSAmaksa_2021!$A$4:$N$138,14,FALSE)</f>
        <v>56.918399999999991</v>
      </c>
      <c r="P36" s="132">
        <f t="shared" si="4"/>
        <v>306284.86757357698</v>
      </c>
      <c r="Q36" s="132">
        <f t="shared" si="5"/>
        <v>311070.02181642107</v>
      </c>
      <c r="R36" s="132">
        <f t="shared" si="6"/>
        <v>314126.33081875474</v>
      </c>
      <c r="S36" s="132">
        <f t="shared" si="7"/>
        <v>240944.09582454723</v>
      </c>
      <c r="T36" s="132">
        <f t="shared" si="8"/>
        <v>244708.41716225119</v>
      </c>
      <c r="U36" s="132">
        <f t="shared" si="9"/>
        <v>247112.71357742039</v>
      </c>
      <c r="V36" s="132">
        <f t="shared" si="15"/>
        <v>65340.771749029751</v>
      </c>
      <c r="W36" s="132">
        <f t="shared" si="16"/>
        <v>66361.604654169874</v>
      </c>
      <c r="X36" s="132">
        <f t="shared" si="17"/>
        <v>67013.617241334345</v>
      </c>
      <c r="Y36" s="132">
        <f t="shared" si="18"/>
        <v>198715.99364453397</v>
      </c>
      <c r="Z36" s="138">
        <f t="shared" si="19"/>
        <v>12.595914619754664</v>
      </c>
    </row>
    <row r="37" spans="1:26" outlineLevel="1" x14ac:dyDescent="0.3">
      <c r="A37" s="98" t="s">
        <v>32</v>
      </c>
      <c r="B37" s="132">
        <f>VLOOKUP(A37,Iedz_sk!$B$5:$Y$123,15,FALSE)</f>
        <v>2362</v>
      </c>
      <c r="C37" s="132">
        <f>VLOOKUP(A37,Iedz_sk!$B$5:$Y$123,16,FALSE)</f>
        <v>2316</v>
      </c>
      <c r="D37" s="132">
        <f>VLOOKUP(A37,Iedz_sk!$B$5:$Y$123,17,FALSE)</f>
        <v>2270</v>
      </c>
      <c r="E37" s="133">
        <f>VLOOKUP($A37,IKP!$Q$6:$AC$124,11,FALSE)</f>
        <v>15532.278679271749</v>
      </c>
      <c r="F37" s="133">
        <f>VLOOKUP($A37,IKP!$Q$6:$AC$124,12,FALSE)</f>
        <v>16382.402732200253</v>
      </c>
      <c r="G37" s="133">
        <f>VLOOKUP($A37,IKP!$Q$6:$AC$124,13,FALSE)</f>
        <v>17068.009587708482</v>
      </c>
      <c r="H37" s="132">
        <f>((-0.0000000006)*IKP!$J$5 + 0.0461)*E37</f>
        <v>426.43818296426946</v>
      </c>
      <c r="I37" s="132">
        <f>((-0.0000000006)*IKP!$K$5 + 0.0461)*F37</f>
        <v>434.20033667165376</v>
      </c>
      <c r="J37" s="132">
        <f>((-0.0000000006)*IKP!$L$5 + 0.0461)*G37</f>
        <v>439.66209397365373</v>
      </c>
      <c r="K37" s="132">
        <f t="shared" ref="K37:K68" si="20">H37*$AB$6*$AB$5</f>
        <v>102.34516391142468</v>
      </c>
      <c r="L37" s="132">
        <f t="shared" ref="L37:L68" si="21">I37*$AB$6*$AB$5</f>
        <v>104.2080808011969</v>
      </c>
      <c r="M37" s="132">
        <f t="shared" ref="M37:M68" si="22">J37*$AB$6*$AB$5</f>
        <v>105.5189025536769</v>
      </c>
      <c r="N37" s="137">
        <f>VLOOKUP(A37,NSAmaksa_2021!$A$4:$N$138,12,FALSE)</f>
        <v>78.650000000000006</v>
      </c>
      <c r="O37" s="137">
        <f>VLOOKUP(A37,NSAmaksa_2021!$A$4:$N$138,14,FALSE)</f>
        <v>36.703333333333333</v>
      </c>
      <c r="P37" s="132">
        <f t="shared" si="4"/>
        <v>20123.617854083877</v>
      </c>
      <c r="Q37" s="132">
        <f t="shared" si="5"/>
        <v>20489.913887535338</v>
      </c>
      <c r="R37" s="132">
        <f t="shared" si="6"/>
        <v>20747.654214616719</v>
      </c>
      <c r="S37" s="132">
        <f t="shared" si="7"/>
        <v>15830.579378545983</v>
      </c>
      <c r="T37" s="132">
        <f t="shared" si="8"/>
        <v>16118.732258194466</v>
      </c>
      <c r="U37" s="132">
        <f t="shared" si="9"/>
        <v>16321.487982165152</v>
      </c>
      <c r="V37" s="132">
        <f t="shared" si="15"/>
        <v>4293.0384755378946</v>
      </c>
      <c r="W37" s="132">
        <f t="shared" si="16"/>
        <v>4371.181629340872</v>
      </c>
      <c r="X37" s="132">
        <f t="shared" si="17"/>
        <v>4426.1662324515673</v>
      </c>
      <c r="Y37" s="132">
        <f t="shared" si="18"/>
        <v>13090.386337330334</v>
      </c>
      <c r="Z37" s="138">
        <f t="shared" si="19"/>
        <v>5.6547808974829783</v>
      </c>
    </row>
    <row r="38" spans="1:26" outlineLevel="1" x14ac:dyDescent="0.3">
      <c r="A38" s="98" t="s">
        <v>33</v>
      </c>
      <c r="B38" s="132">
        <f>VLOOKUP(A38,Iedz_sk!$B$5:$Y$123,15,FALSE)</f>
        <v>6475</v>
      </c>
      <c r="C38" s="132">
        <f>VLOOKUP(A38,Iedz_sk!$B$5:$Y$123,16,FALSE)</f>
        <v>6316</v>
      </c>
      <c r="D38" s="132">
        <f>VLOOKUP(A38,Iedz_sk!$B$5:$Y$123,17,FALSE)</f>
        <v>6156</v>
      </c>
      <c r="E38" s="133">
        <f>VLOOKUP($A38,IKP!$Q$6:$AC$124,11,FALSE)</f>
        <v>42578.960393007867</v>
      </c>
      <c r="F38" s="133">
        <f>VLOOKUP($A38,IKP!$Q$6:$AC$124,12,FALSE)</f>
        <v>44676.707969160969</v>
      </c>
      <c r="G38" s="133">
        <f>VLOOKUP($A38,IKP!$Q$6:$AC$124,13,FALSE)</f>
        <v>46286.637454596217</v>
      </c>
      <c r="H38" s="132">
        <f>((-0.0000000006)*IKP!$J$5 + 0.0461)*E38</f>
        <v>1169.0039096924829</v>
      </c>
      <c r="I38" s="132">
        <f>((-0.0000000006)*IKP!$K$5 + 0.0461)*F38</f>
        <v>1184.1145623567206</v>
      </c>
      <c r="J38" s="132">
        <f>((-0.0000000006)*IKP!$L$5 + 0.0461)*G38</f>
        <v>1192.3171147585076</v>
      </c>
      <c r="K38" s="132">
        <f t="shared" si="20"/>
        <v>280.56093832619587</v>
      </c>
      <c r="L38" s="132">
        <f t="shared" si="21"/>
        <v>284.18749496561293</v>
      </c>
      <c r="M38" s="132">
        <f t="shared" si="22"/>
        <v>286.15610754204187</v>
      </c>
      <c r="N38" s="137">
        <f>VLOOKUP(A38,NSAmaksa_2021!$A$4:$N$138,12,FALSE)</f>
        <v>125.3</v>
      </c>
      <c r="O38" s="137">
        <f>VLOOKUP(A38,NSAmaksa_2021!$A$4:$N$138,14,FALSE)</f>
        <v>58.473333333333329</v>
      </c>
      <c r="P38" s="132">
        <f t="shared" ref="P38:P69" si="23">H38*$AB$5*$N38</f>
        <v>87885.713930680868</v>
      </c>
      <c r="Q38" s="132">
        <f t="shared" ref="Q38:Q69" si="24">I38*$AB$5*$N38</f>
        <v>89021.732797978257</v>
      </c>
      <c r="R38" s="132">
        <f t="shared" ref="R38:R69" si="25">J38*$AB$5*$N38</f>
        <v>89638.400687544592</v>
      </c>
      <c r="S38" s="132">
        <f t="shared" ref="S38:S69" si="26">H38*$AB$5*(1-$AB$6)*$N38+K38*$O38</f>
        <v>69136.761625468935</v>
      </c>
      <c r="T38" s="132">
        <f t="shared" ref="T38:T69" si="27">I38*$AB$5*(1-$AB$6)*$N38+L38*$O38</f>
        <v>70030.429801076214</v>
      </c>
      <c r="U38" s="132">
        <f t="shared" ref="U38:U69" si="28">J38*$AB$5*(1-$AB$6)*$N38+M38*$O38</f>
        <v>70515.54187420175</v>
      </c>
      <c r="V38" s="132">
        <f t="shared" si="15"/>
        <v>18748.952305211933</v>
      </c>
      <c r="W38" s="132">
        <f t="shared" si="16"/>
        <v>18991.302996902043</v>
      </c>
      <c r="X38" s="132">
        <f t="shared" si="17"/>
        <v>19122.858813342842</v>
      </c>
      <c r="Y38" s="132">
        <f t="shared" si="18"/>
        <v>56863.114115456818</v>
      </c>
      <c r="Z38" s="138">
        <f t="shared" si="19"/>
        <v>9.0088244940192919</v>
      </c>
    </row>
    <row r="39" spans="1:26" outlineLevel="1" x14ac:dyDescent="0.3">
      <c r="A39" s="98" t="s">
        <v>34</v>
      </c>
      <c r="B39" s="132">
        <f>VLOOKUP(A39,Iedz_sk!$B$5:$Y$123,15,FALSE)</f>
        <v>19553</v>
      </c>
      <c r="C39" s="132">
        <f>VLOOKUP(A39,Iedz_sk!$B$5:$Y$123,16,FALSE)</f>
        <v>18967</v>
      </c>
      <c r="D39" s="132">
        <f>VLOOKUP(A39,Iedz_sk!$B$5:$Y$123,17,FALSE)</f>
        <v>18381</v>
      </c>
      <c r="E39" s="133">
        <f>VLOOKUP($A39,IKP!$Q$6:$AC$124,11,FALSE)</f>
        <v>128578.59653505526</v>
      </c>
      <c r="F39" s="133">
        <f>VLOOKUP($A39,IKP!$Q$6:$AC$124,12,FALSE)</f>
        <v>134164.52185735846</v>
      </c>
      <c r="G39" s="133">
        <f>VLOOKUP($A39,IKP!$Q$6:$AC$124,13,FALSE)</f>
        <v>138205.76397870909</v>
      </c>
      <c r="H39" s="132">
        <f>((-0.0000000006)*IKP!$J$5 + 0.0461)*E39</f>
        <v>3530.1209955547674</v>
      </c>
      <c r="I39" s="132">
        <f>((-0.0000000006)*IKP!$K$5 + 0.0461)*F39</f>
        <v>3555.9057796421657</v>
      </c>
      <c r="J39" s="132">
        <f>((-0.0000000006)*IKP!$L$5 + 0.0461)*G39</f>
        <v>3560.1008587355641</v>
      </c>
      <c r="K39" s="132">
        <f t="shared" si="20"/>
        <v>847.22903893314424</v>
      </c>
      <c r="L39" s="132">
        <f t="shared" si="21"/>
        <v>853.41738711411983</v>
      </c>
      <c r="M39" s="132">
        <f t="shared" si="22"/>
        <v>854.42420609653539</v>
      </c>
      <c r="N39" s="137">
        <f>VLOOKUP(A39,NSAmaksa_2021!$A$4:$N$138,12,FALSE)</f>
        <v>84.5</v>
      </c>
      <c r="O39" s="137">
        <f>VLOOKUP(A39,NSAmaksa_2021!$A$4:$N$138,14,FALSE)</f>
        <v>39.43333333333333</v>
      </c>
      <c r="P39" s="132">
        <f t="shared" si="23"/>
        <v>178977.13447462671</v>
      </c>
      <c r="Q39" s="132">
        <f t="shared" si="24"/>
        <v>180284.42302785782</v>
      </c>
      <c r="R39" s="132">
        <f t="shared" si="25"/>
        <v>180497.11353789308</v>
      </c>
      <c r="S39" s="132">
        <f t="shared" si="26"/>
        <v>140795.34578670631</v>
      </c>
      <c r="T39" s="132">
        <f t="shared" si="27"/>
        <v>141823.74611524813</v>
      </c>
      <c r="U39" s="132">
        <f t="shared" si="28"/>
        <v>141991.06264980923</v>
      </c>
      <c r="V39" s="132">
        <f t="shared" si="15"/>
        <v>38181.788687920402</v>
      </c>
      <c r="W39" s="132">
        <f t="shared" si="16"/>
        <v>38460.676912609691</v>
      </c>
      <c r="X39" s="132">
        <f t="shared" si="17"/>
        <v>38506.050888083846</v>
      </c>
      <c r="Y39" s="132">
        <f t="shared" si="18"/>
        <v>115148.51648861394</v>
      </c>
      <c r="Z39" s="138">
        <f t="shared" si="19"/>
        <v>6.0753844353122926</v>
      </c>
    </row>
    <row r="40" spans="1:26" outlineLevel="1" x14ac:dyDescent="0.3">
      <c r="A40" s="98" t="s">
        <v>35</v>
      </c>
      <c r="B40" s="132">
        <f>VLOOKUP(A40,Iedz_sk!$B$5:$Y$123,15,FALSE)</f>
        <v>19219</v>
      </c>
      <c r="C40" s="132">
        <f>VLOOKUP(A40,Iedz_sk!$B$5:$Y$123,16,FALSE)</f>
        <v>18842</v>
      </c>
      <c r="D40" s="132">
        <f>VLOOKUP(A40,Iedz_sk!$B$5:$Y$123,17,FALSE)</f>
        <v>18464</v>
      </c>
      <c r="E40" s="133">
        <f>VLOOKUP($A40,IKP!$Q$6:$AC$124,11,FALSE)</f>
        <v>164018.81502434998</v>
      </c>
      <c r="F40" s="133">
        <f>VLOOKUP($A40,IKP!$Q$6:$AC$124,12,FALSE)</f>
        <v>171796.82331590465</v>
      </c>
      <c r="G40" s="133">
        <f>VLOOKUP($A40,IKP!$Q$6:$AC$124,13,FALSE)</f>
        <v>177686.95631881291</v>
      </c>
      <c r="H40" s="132">
        <f>((-0.0000000006)*IKP!$J$5 + 0.0461)*E40</f>
        <v>4503.1309890337243</v>
      </c>
      <c r="I40" s="132">
        <f>((-0.0000000006)*IKP!$K$5 + 0.0461)*F40</f>
        <v>4553.3149039407099</v>
      </c>
      <c r="J40" s="132">
        <f>((-0.0000000006)*IKP!$L$5 + 0.0461)*G40</f>
        <v>4577.1136280116752</v>
      </c>
      <c r="K40" s="132">
        <f t="shared" si="20"/>
        <v>1080.7514373680938</v>
      </c>
      <c r="L40" s="132">
        <f t="shared" si="21"/>
        <v>1092.7955769457703</v>
      </c>
      <c r="M40" s="132">
        <f t="shared" si="22"/>
        <v>1098.5072707228021</v>
      </c>
      <c r="N40" s="137">
        <f>VLOOKUP(A40,NSAmaksa_2021!$A$4:$N$138,12,FALSE)</f>
        <v>120.8</v>
      </c>
      <c r="O40" s="137">
        <f>VLOOKUP(A40,NSAmaksa_2021!$A$4:$N$138,14,FALSE)</f>
        <v>56.373333333333328</v>
      </c>
      <c r="P40" s="132">
        <f t="shared" si="23"/>
        <v>326386.93408516434</v>
      </c>
      <c r="Q40" s="132">
        <f t="shared" si="24"/>
        <v>330024.26423762261</v>
      </c>
      <c r="R40" s="132">
        <f t="shared" si="25"/>
        <v>331749.19575828622</v>
      </c>
      <c r="S40" s="132">
        <f t="shared" si="26"/>
        <v>256757.72148032923</v>
      </c>
      <c r="T40" s="132">
        <f t="shared" si="27"/>
        <v>259619.08786692983</v>
      </c>
      <c r="U40" s="132">
        <f t="shared" si="28"/>
        <v>260976.0339965185</v>
      </c>
      <c r="V40" s="132">
        <f t="shared" si="15"/>
        <v>69629.212604835106</v>
      </c>
      <c r="W40" s="132">
        <f t="shared" si="16"/>
        <v>70405.176370692789</v>
      </c>
      <c r="X40" s="132">
        <f t="shared" si="17"/>
        <v>70773.161761767726</v>
      </c>
      <c r="Y40" s="132">
        <f t="shared" si="18"/>
        <v>210807.55073729562</v>
      </c>
      <c r="Z40" s="138">
        <f t="shared" si="19"/>
        <v>11.192579930853192</v>
      </c>
    </row>
    <row r="41" spans="1:26" outlineLevel="1" x14ac:dyDescent="0.3">
      <c r="A41" s="98" t="s">
        <v>36</v>
      </c>
      <c r="B41" s="132">
        <f>VLOOKUP(A41,Iedz_sk!$B$5:$Y$123,15,FALSE)</f>
        <v>3487</v>
      </c>
      <c r="C41" s="132">
        <f>VLOOKUP(A41,Iedz_sk!$B$5:$Y$123,16,FALSE)</f>
        <v>3431</v>
      </c>
      <c r="D41" s="132">
        <f>VLOOKUP(A41,Iedz_sk!$B$5:$Y$123,17,FALSE)</f>
        <v>3374</v>
      </c>
      <c r="E41" s="133">
        <f>VLOOKUP($A41,IKP!$Q$6:$AC$124,11,FALSE)</f>
        <v>33409.523862990034</v>
      </c>
      <c r="F41" s="133">
        <f>VLOOKUP($A41,IKP!$Q$6:$AC$124,12,FALSE)</f>
        <v>35176.846975654684</v>
      </c>
      <c r="G41" s="133">
        <f>VLOOKUP($A41,IKP!$Q$6:$AC$124,13,FALSE)</f>
        <v>36570.730089855097</v>
      </c>
      <c r="H41" s="132">
        <f>((-0.0000000006)*IKP!$J$5 + 0.0461)*E41</f>
        <v>917.25734156753254</v>
      </c>
      <c r="I41" s="132">
        <f>((-0.0000000006)*IKP!$K$5 + 0.0461)*F41</f>
        <v>932.3295886173803</v>
      </c>
      <c r="J41" s="132">
        <f>((-0.0000000006)*IKP!$L$5 + 0.0461)*G41</f>
        <v>942.04093844838894</v>
      </c>
      <c r="K41" s="132">
        <f t="shared" si="20"/>
        <v>220.14176197620782</v>
      </c>
      <c r="L41" s="132">
        <f t="shared" si="21"/>
        <v>223.75910126817129</v>
      </c>
      <c r="M41" s="132">
        <f t="shared" si="22"/>
        <v>226.08982522761335</v>
      </c>
      <c r="N41" s="137">
        <f>VLOOKUP(A41,NSAmaksa_2021!$A$4:$N$138,12,FALSE)</f>
        <v>86.05</v>
      </c>
      <c r="O41" s="137">
        <f>VLOOKUP(A41,NSAmaksa_2021!$A$4:$N$138,14,FALSE)</f>
        <v>63.533333333333331</v>
      </c>
      <c r="P41" s="132">
        <f t="shared" si="23"/>
        <v>47357.996545131704</v>
      </c>
      <c r="Q41" s="132">
        <f t="shared" si="24"/>
        <v>48136.176660315337</v>
      </c>
      <c r="R41" s="132">
        <f t="shared" si="25"/>
        <v>48637.573652090323</v>
      </c>
      <c r="S41" s="132">
        <f t="shared" si="26"/>
        <v>42401.137871300758</v>
      </c>
      <c r="T41" s="132">
        <f t="shared" si="27"/>
        <v>43097.867563427018</v>
      </c>
      <c r="U41" s="132">
        <f t="shared" si="28"/>
        <v>43546.784420715223</v>
      </c>
      <c r="V41" s="132">
        <f t="shared" si="15"/>
        <v>4956.8586738309459</v>
      </c>
      <c r="W41" s="132">
        <f t="shared" si="16"/>
        <v>5038.3090968883189</v>
      </c>
      <c r="X41" s="132">
        <f t="shared" si="17"/>
        <v>5090.7892313750999</v>
      </c>
      <c r="Y41" s="132">
        <f t="shared" si="18"/>
        <v>15085.957002094365</v>
      </c>
      <c r="Z41" s="138">
        <f t="shared" si="19"/>
        <v>4.3988209974308354</v>
      </c>
    </row>
    <row r="42" spans="1:26" outlineLevel="1" x14ac:dyDescent="0.3">
      <c r="A42" s="98" t="s">
        <v>37</v>
      </c>
      <c r="B42" s="132">
        <f>VLOOKUP(A42,Iedz_sk!$B$5:$Y$123,15,FALSE)</f>
        <v>2620</v>
      </c>
      <c r="C42" s="132">
        <f>VLOOKUP(A42,Iedz_sk!$B$5:$Y$123,16,FALSE)</f>
        <v>2563</v>
      </c>
      <c r="D42" s="132">
        <f>VLOOKUP(A42,Iedz_sk!$B$5:$Y$123,17,FALSE)</f>
        <v>2506</v>
      </c>
      <c r="E42" s="133">
        <f>VLOOKUP($A42,IKP!$Q$6:$AC$124,11,FALSE)</f>
        <v>25102.653433046715</v>
      </c>
      <c r="F42" s="133">
        <f>VLOOKUP($A42,IKP!$Q$6:$AC$124,12,FALSE)</f>
        <v>26277.545554824526</v>
      </c>
      <c r="G42" s="133">
        <f>VLOOKUP($A42,IKP!$Q$6:$AC$124,13,FALSE)</f>
        <v>27162.49247337785</v>
      </c>
      <c r="H42" s="132">
        <f>((-0.0000000006)*IKP!$J$5 + 0.0461)*E42</f>
        <v>689.19249638856763</v>
      </c>
      <c r="I42" s="132">
        <f>((-0.0000000006)*IKP!$K$5 + 0.0461)*F42</f>
        <v>696.46188738745138</v>
      </c>
      <c r="J42" s="132">
        <f>((-0.0000000006)*IKP!$L$5 + 0.0461)*G42</f>
        <v>699.69015760274522</v>
      </c>
      <c r="K42" s="132">
        <f t="shared" si="20"/>
        <v>165.40619913325625</v>
      </c>
      <c r="L42" s="132">
        <f t="shared" si="21"/>
        <v>167.15085297298833</v>
      </c>
      <c r="M42" s="132">
        <f t="shared" si="22"/>
        <v>167.92563782465888</v>
      </c>
      <c r="N42" s="137">
        <f>VLOOKUP(A42,NSAmaksa_2021!$A$4:$N$138,12,FALSE)</f>
        <v>101.5795</v>
      </c>
      <c r="O42" s="137">
        <f>VLOOKUP(A42,NSAmaksa_2021!$A$4:$N$138,14,FALSE)</f>
        <v>47.403766666666662</v>
      </c>
      <c r="P42" s="132">
        <f t="shared" si="23"/>
        <v>42004.697512141502</v>
      </c>
      <c r="Q42" s="132">
        <f t="shared" si="24"/>
        <v>42447.750173924171</v>
      </c>
      <c r="R42" s="132">
        <f t="shared" si="25"/>
        <v>42644.505818524827</v>
      </c>
      <c r="S42" s="132">
        <f t="shared" si="26"/>
        <v>33043.695376217984</v>
      </c>
      <c r="T42" s="132">
        <f t="shared" si="27"/>
        <v>33392.230136820348</v>
      </c>
      <c r="U42" s="132">
        <f t="shared" si="28"/>
        <v>33547.0112439062</v>
      </c>
      <c r="V42" s="132">
        <f t="shared" si="15"/>
        <v>8961.0021359235179</v>
      </c>
      <c r="W42" s="132">
        <f t="shared" si="16"/>
        <v>9055.5200371038227</v>
      </c>
      <c r="X42" s="132">
        <f t="shared" si="17"/>
        <v>9097.4945746186277</v>
      </c>
      <c r="Y42" s="132">
        <f t="shared" si="18"/>
        <v>27114.016747645968</v>
      </c>
      <c r="Z42" s="138">
        <f t="shared" si="19"/>
        <v>10.583687046834058</v>
      </c>
    </row>
    <row r="43" spans="1:26" outlineLevel="1" x14ac:dyDescent="0.3">
      <c r="A43" s="98" t="s">
        <v>38</v>
      </c>
      <c r="B43" s="132">
        <f>VLOOKUP(A43,Iedz_sk!$B$5:$Y$123,15,FALSE)</f>
        <v>7147</v>
      </c>
      <c r="C43" s="132">
        <f>VLOOKUP(A43,Iedz_sk!$B$5:$Y$123,16,FALSE)</f>
        <v>7052</v>
      </c>
      <c r="D43" s="132">
        <f>VLOOKUP(A43,Iedz_sk!$B$5:$Y$123,17,FALSE)</f>
        <v>6956</v>
      </c>
      <c r="E43" s="133">
        <f>VLOOKUP($A43,IKP!$Q$6:$AC$124,11,FALSE)</f>
        <v>92718.887462982471</v>
      </c>
      <c r="F43" s="133">
        <f>VLOOKUP($A43,IKP!$Q$6:$AC$124,12,FALSE)</f>
        <v>96449.754703222963</v>
      </c>
      <c r="G43" s="133">
        <f>VLOOKUP($A43,IKP!$Q$6:$AC$124,13,FALSE)</f>
        <v>99058.463293900029</v>
      </c>
      <c r="H43" s="132">
        <f>((-0.0000000006)*IKP!$J$5 + 0.0461)*E43</f>
        <v>2545.5939023904161</v>
      </c>
      <c r="I43" s="132">
        <f>((-0.0000000006)*IKP!$K$5 + 0.0461)*F43</f>
        <v>2556.310978836088</v>
      </c>
      <c r="J43" s="132">
        <f>((-0.0000000006)*IKP!$L$5 + 0.0461)*G43</f>
        <v>2551.6889461424098</v>
      </c>
      <c r="K43" s="132">
        <f t="shared" si="20"/>
        <v>610.94253657369984</v>
      </c>
      <c r="L43" s="132">
        <f t="shared" si="21"/>
        <v>613.51463492066114</v>
      </c>
      <c r="M43" s="132">
        <f t="shared" si="22"/>
        <v>612.40534707417839</v>
      </c>
      <c r="N43" s="137">
        <f>VLOOKUP(A43,NSAmaksa_2021!$A$4:$N$138,12,FALSE)</f>
        <v>86.05</v>
      </c>
      <c r="O43" s="137">
        <f>VLOOKUP(A43,NSAmaksa_2021!$A$4:$N$138,14,FALSE)</f>
        <v>63.533333333333331</v>
      </c>
      <c r="P43" s="132">
        <f t="shared" si="23"/>
        <v>131429.01318041718</v>
      </c>
      <c r="Q43" s="132">
        <f t="shared" si="24"/>
        <v>131982.33583730721</v>
      </c>
      <c r="R43" s="132">
        <f t="shared" si="25"/>
        <v>131743.70028933263</v>
      </c>
      <c r="S43" s="132">
        <f t="shared" si="26"/>
        <v>117672.62373189937</v>
      </c>
      <c r="T43" s="132">
        <f t="shared" si="27"/>
        <v>118168.03130767701</v>
      </c>
      <c r="U43" s="132">
        <f t="shared" si="28"/>
        <v>117954.37322437903</v>
      </c>
      <c r="V43" s="132">
        <f t="shared" si="15"/>
        <v>13756.389448517817</v>
      </c>
      <c r="W43" s="132">
        <f t="shared" si="16"/>
        <v>13814.304529630201</v>
      </c>
      <c r="X43" s="132">
        <f t="shared" si="17"/>
        <v>13789.327064953599</v>
      </c>
      <c r="Y43" s="132">
        <f t="shared" si="18"/>
        <v>41360.021043101617</v>
      </c>
      <c r="Z43" s="138">
        <f t="shared" si="19"/>
        <v>5.8660626921770884</v>
      </c>
    </row>
    <row r="44" spans="1:26" outlineLevel="1" x14ac:dyDescent="0.3">
      <c r="A44" s="98" t="s">
        <v>39</v>
      </c>
      <c r="B44" s="132">
        <f>VLOOKUP(A44,Iedz_sk!$B$5:$Y$123,15,FALSE)</f>
        <v>2600</v>
      </c>
      <c r="C44" s="132">
        <f>VLOOKUP(A44,Iedz_sk!$B$5:$Y$123,16,FALSE)</f>
        <v>2533</v>
      </c>
      <c r="D44" s="132">
        <f>VLOOKUP(A44,Iedz_sk!$B$5:$Y$123,17,FALSE)</f>
        <v>2466</v>
      </c>
      <c r="E44" s="133">
        <f>VLOOKUP($A44,IKP!$Q$6:$AC$124,11,FALSE)</f>
        <v>24552.54856062627</v>
      </c>
      <c r="F44" s="133">
        <f>VLOOKUP($A44,IKP!$Q$6:$AC$124,12,FALSE)</f>
        <v>25735.881762244117</v>
      </c>
      <c r="G44" s="133">
        <f>VLOOKUP($A44,IKP!$Q$6:$AC$124,13,FALSE)</f>
        <v>26638.562675829919</v>
      </c>
      <c r="H44" s="132">
        <f>((-0.0000000006)*IKP!$J$5 + 0.0461)*E44</f>
        <v>674.08938582258054</v>
      </c>
      <c r="I44" s="132">
        <f>((-0.0000000006)*IKP!$K$5 + 0.0461)*F44</f>
        <v>682.10559271286229</v>
      </c>
      <c r="J44" s="132">
        <f>((-0.0000000006)*IKP!$L$5 + 0.0461)*G44</f>
        <v>686.19402785771604</v>
      </c>
      <c r="K44" s="132">
        <f t="shared" si="20"/>
        <v>161.78145259741933</v>
      </c>
      <c r="L44" s="132">
        <f t="shared" si="21"/>
        <v>163.70534225108693</v>
      </c>
      <c r="M44" s="132">
        <f t="shared" si="22"/>
        <v>164.68656668585186</v>
      </c>
      <c r="N44" s="137">
        <f>VLOOKUP(A44,NSAmaksa_2021!$A$4:$N$138,12,FALSE)</f>
        <v>124.8</v>
      </c>
      <c r="O44" s="137">
        <f>VLOOKUP(A44,NSAmaksa_2021!$A$4:$N$138,14,FALSE)</f>
        <v>58.239999999999995</v>
      </c>
      <c r="P44" s="132">
        <f t="shared" si="23"/>
        <v>50475.81321039483</v>
      </c>
      <c r="Q44" s="132">
        <f t="shared" si="24"/>
        <v>51076.066782339127</v>
      </c>
      <c r="R44" s="132">
        <f t="shared" si="25"/>
        <v>51382.208805985771</v>
      </c>
      <c r="S44" s="132">
        <f t="shared" si="26"/>
        <v>39707.639725510599</v>
      </c>
      <c r="T44" s="132">
        <f t="shared" si="27"/>
        <v>40179.839202106778</v>
      </c>
      <c r="U44" s="132">
        <f t="shared" si="28"/>
        <v>40420.670927375468</v>
      </c>
      <c r="V44" s="132">
        <f t="shared" si="15"/>
        <v>10768.173484884232</v>
      </c>
      <c r="W44" s="132">
        <f t="shared" si="16"/>
        <v>10896.227580232349</v>
      </c>
      <c r="X44" s="132">
        <f t="shared" si="17"/>
        <v>10961.537878610303</v>
      </c>
      <c r="Y44" s="132">
        <f t="shared" si="18"/>
        <v>32625.938943726884</v>
      </c>
      <c r="Z44" s="138">
        <f t="shared" si="19"/>
        <v>12.888381743944169</v>
      </c>
    </row>
    <row r="45" spans="1:26" outlineLevel="1" x14ac:dyDescent="0.3">
      <c r="A45" s="98" t="s">
        <v>40</v>
      </c>
      <c r="B45" s="132">
        <f>VLOOKUP(A45,Iedz_sk!$B$5:$Y$123,15,FALSE)</f>
        <v>9425</v>
      </c>
      <c r="C45" s="132">
        <f>VLOOKUP(A45,Iedz_sk!$B$5:$Y$123,16,FALSE)</f>
        <v>9469</v>
      </c>
      <c r="D45" s="132">
        <f>VLOOKUP(A45,Iedz_sk!$B$5:$Y$123,17,FALSE)</f>
        <v>9512</v>
      </c>
      <c r="E45" s="133">
        <f>VLOOKUP($A45,IKP!$Q$6:$AC$124,11,FALSE)</f>
        <v>122271.65444782563</v>
      </c>
      <c r="F45" s="133">
        <f>VLOOKUP($A45,IKP!$Q$6:$AC$124,12,FALSE)</f>
        <v>129506.90971140361</v>
      </c>
      <c r="G45" s="133">
        <f>VLOOKUP($A45,IKP!$Q$6:$AC$124,13,FALSE)</f>
        <v>135457.74911609793</v>
      </c>
      <c r="H45" s="132">
        <f>((-0.0000000006)*IKP!$J$5 + 0.0461)*E45</f>
        <v>3356.9641150174434</v>
      </c>
      <c r="I45" s="132">
        <f>((-0.0000000006)*IKP!$K$5 + 0.0461)*F45</f>
        <v>3432.4601047360916</v>
      </c>
      <c r="J45" s="132">
        <f>((-0.0000000006)*IKP!$L$5 + 0.0461)*G45</f>
        <v>3489.3135790262513</v>
      </c>
      <c r="K45" s="132">
        <f t="shared" si="20"/>
        <v>805.67138760418641</v>
      </c>
      <c r="L45" s="132">
        <f t="shared" si="21"/>
        <v>823.79042513666207</v>
      </c>
      <c r="M45" s="132">
        <f t="shared" si="22"/>
        <v>837.43525896630035</v>
      </c>
      <c r="N45" s="137">
        <f>VLOOKUP(A45,NSAmaksa_2021!$A$4:$N$138,12,FALSE)</f>
        <v>89.055999999999997</v>
      </c>
      <c r="O45" s="137">
        <f>VLOOKUP(A45,NSAmaksa_2021!$A$4:$N$138,14,FALSE)</f>
        <v>44.8</v>
      </c>
      <c r="P45" s="132">
        <f t="shared" si="23"/>
        <v>179374.67773619606</v>
      </c>
      <c r="Q45" s="132">
        <f t="shared" si="24"/>
        <v>183408.70025242641</v>
      </c>
      <c r="R45" s="132">
        <f t="shared" si="25"/>
        <v>186446.5860562571</v>
      </c>
      <c r="S45" s="132">
        <f t="shared" si="26"/>
        <v>143718.88480638515</v>
      </c>
      <c r="T45" s="132">
        <f t="shared" si="27"/>
        <v>146951.0311975783</v>
      </c>
      <c r="U45" s="132">
        <f t="shared" si="28"/>
        <v>149385.05123544449</v>
      </c>
      <c r="V45" s="132">
        <f t="shared" si="15"/>
        <v>35655.792929810908</v>
      </c>
      <c r="W45" s="132">
        <f t="shared" si="16"/>
        <v>36457.669054848113</v>
      </c>
      <c r="X45" s="132">
        <f t="shared" si="17"/>
        <v>37061.534820812609</v>
      </c>
      <c r="Y45" s="132">
        <f t="shared" si="18"/>
        <v>109174.99680547163</v>
      </c>
      <c r="Z45" s="138">
        <f t="shared" si="19"/>
        <v>11.529613790006927</v>
      </c>
    </row>
    <row r="46" spans="1:26" outlineLevel="1" x14ac:dyDescent="0.3">
      <c r="A46" s="98" t="s">
        <v>41</v>
      </c>
      <c r="B46" s="132">
        <f>VLOOKUP(A46,Iedz_sk!$B$5:$Y$123,15,FALSE)</f>
        <v>8329</v>
      </c>
      <c r="C46" s="132">
        <f>VLOOKUP(A46,Iedz_sk!$B$5:$Y$123,16,FALSE)</f>
        <v>8186</v>
      </c>
      <c r="D46" s="132">
        <f>VLOOKUP(A46,Iedz_sk!$B$5:$Y$123,17,FALSE)</f>
        <v>8043</v>
      </c>
      <c r="E46" s="133">
        <f>VLOOKUP($A46,IKP!$Q$6:$AC$124,11,FALSE)</f>
        <v>79801.526886964159</v>
      </c>
      <c r="F46" s="133">
        <f>VLOOKUP($A46,IKP!$Q$6:$AC$124,12,FALSE)</f>
        <v>83928.204413497297</v>
      </c>
      <c r="G46" s="133">
        <f>VLOOKUP($A46,IKP!$Q$6:$AC$124,13,FALSE)</f>
        <v>87177.943720422205</v>
      </c>
      <c r="H46" s="132">
        <f>((-0.0000000006)*IKP!$J$5 + 0.0461)*E46</f>
        <v>2190.9482070306794</v>
      </c>
      <c r="I46" s="132">
        <f>((-0.0000000006)*IKP!$K$5 + 0.0461)*F46</f>
        <v>2224.438942705297</v>
      </c>
      <c r="J46" s="132">
        <f>((-0.0000000006)*IKP!$L$5 + 0.0461)*G46</f>
        <v>2245.65360638423</v>
      </c>
      <c r="K46" s="132">
        <f t="shared" si="20"/>
        <v>525.82756968736305</v>
      </c>
      <c r="L46" s="132">
        <f t="shared" si="21"/>
        <v>533.86534624927128</v>
      </c>
      <c r="M46" s="132">
        <f t="shared" si="22"/>
        <v>538.95686553221526</v>
      </c>
      <c r="N46" s="137">
        <f>VLOOKUP(A46,NSAmaksa_2021!$A$4:$N$138,12,FALSE)</f>
        <v>92.95</v>
      </c>
      <c r="O46" s="137">
        <f>VLOOKUP(A46,NSAmaksa_2021!$A$4:$N$138,14,FALSE)</f>
        <v>43.376666666666665</v>
      </c>
      <c r="P46" s="132">
        <f t="shared" si="23"/>
        <v>122189.18150610098</v>
      </c>
      <c r="Q46" s="132">
        <f t="shared" si="24"/>
        <v>124056.95983467442</v>
      </c>
      <c r="R46" s="132">
        <f t="shared" si="25"/>
        <v>125240.10162804852</v>
      </c>
      <c r="S46" s="132">
        <f t="shared" si="26"/>
        <v>96122.156118132785</v>
      </c>
      <c r="T46" s="132">
        <f t="shared" si="27"/>
        <v>97591.475069943874</v>
      </c>
      <c r="U46" s="132">
        <f t="shared" si="28"/>
        <v>98522.213280731492</v>
      </c>
      <c r="V46" s="132">
        <f t="shared" si="15"/>
        <v>26067.025387968199</v>
      </c>
      <c r="W46" s="132">
        <f t="shared" si="16"/>
        <v>26465.484764730543</v>
      </c>
      <c r="X46" s="132">
        <f t="shared" si="17"/>
        <v>26717.888347317028</v>
      </c>
      <c r="Y46" s="132">
        <f t="shared" si="18"/>
        <v>79250.39850001577</v>
      </c>
      <c r="Z46" s="138">
        <f t="shared" si="19"/>
        <v>9.6845693373488331</v>
      </c>
    </row>
    <row r="47" spans="1:26" outlineLevel="1" x14ac:dyDescent="0.3">
      <c r="A47" s="98" t="s">
        <v>42</v>
      </c>
      <c r="B47" s="132">
        <f>VLOOKUP(A47,Iedz_sk!$B$5:$Y$123,15,FALSE)</f>
        <v>19619</v>
      </c>
      <c r="C47" s="132">
        <f>VLOOKUP(A47,Iedz_sk!$B$5:$Y$123,16,FALSE)</f>
        <v>19190</v>
      </c>
      <c r="D47" s="132">
        <f>VLOOKUP(A47,Iedz_sk!$B$5:$Y$123,17,FALSE)</f>
        <v>18761</v>
      </c>
      <c r="E47" s="133">
        <f>VLOOKUP($A47,IKP!$Q$6:$AC$124,11,FALSE)</f>
        <v>185267.86546574108</v>
      </c>
      <c r="F47" s="133">
        <f>VLOOKUP($A47,IKP!$Q$6:$AC$124,12,FALSE)</f>
        <v>194974.95894886088</v>
      </c>
      <c r="G47" s="133">
        <f>VLOOKUP($A47,IKP!$Q$6:$AC$124,13,FALSE)</f>
        <v>202662.64167122671</v>
      </c>
      <c r="H47" s="132">
        <f>((-0.0000000006)*IKP!$J$5 + 0.0461)*E47</f>
        <v>5086.5229463281566</v>
      </c>
      <c r="I47" s="132">
        <f>((-0.0000000006)*IKP!$K$5 + 0.0461)*F47</f>
        <v>5167.629816091523</v>
      </c>
      <c r="J47" s="132">
        <f>((-0.0000000006)*IKP!$L$5 + 0.0461)*G47</f>
        <v>5220.4728940140349</v>
      </c>
      <c r="K47" s="132">
        <f t="shared" si="20"/>
        <v>1220.7655071187576</v>
      </c>
      <c r="L47" s="132">
        <f t="shared" si="21"/>
        <v>1240.2311558619656</v>
      </c>
      <c r="M47" s="132">
        <f t="shared" si="22"/>
        <v>1252.9134945633684</v>
      </c>
      <c r="N47" s="137">
        <f>VLOOKUP(A47,NSAmaksa_2021!$A$4:$N$138,12,FALSE)</f>
        <v>120.8</v>
      </c>
      <c r="O47" s="137">
        <f>VLOOKUP(A47,NSAmaksa_2021!$A$4:$N$138,14,FALSE)</f>
        <v>56.373333333333328</v>
      </c>
      <c r="P47" s="132">
        <f t="shared" si="23"/>
        <v>368671.18314986478</v>
      </c>
      <c r="Q47" s="132">
        <f t="shared" si="24"/>
        <v>374549.80907031358</v>
      </c>
      <c r="R47" s="132">
        <f t="shared" si="25"/>
        <v>378379.87535813724</v>
      </c>
      <c r="S47" s="132">
        <f t="shared" si="26"/>
        <v>290021.33074456028</v>
      </c>
      <c r="T47" s="132">
        <f t="shared" si="27"/>
        <v>294645.84980197996</v>
      </c>
      <c r="U47" s="132">
        <f t="shared" si="28"/>
        <v>297658.83528173459</v>
      </c>
      <c r="V47" s="132">
        <f t="shared" si="15"/>
        <v>78649.852405304497</v>
      </c>
      <c r="W47" s="132">
        <f t="shared" si="16"/>
        <v>79903.959268333623</v>
      </c>
      <c r="X47" s="132">
        <f t="shared" si="17"/>
        <v>80721.040076402656</v>
      </c>
      <c r="Y47" s="132">
        <f t="shared" si="18"/>
        <v>239274.85175004078</v>
      </c>
      <c r="Z47" s="138">
        <f t="shared" si="19"/>
        <v>12.475292585484421</v>
      </c>
    </row>
    <row r="48" spans="1:26" outlineLevel="1" x14ac:dyDescent="0.3">
      <c r="A48" s="98" t="s">
        <v>43</v>
      </c>
      <c r="B48" s="132">
        <f>VLOOKUP(A48,Iedz_sk!$B$5:$Y$123,15,FALSE)</f>
        <v>8411</v>
      </c>
      <c r="C48" s="132">
        <f>VLOOKUP(A48,Iedz_sk!$B$5:$Y$123,16,FALSE)</f>
        <v>8295</v>
      </c>
      <c r="D48" s="132">
        <f>VLOOKUP(A48,Iedz_sk!$B$5:$Y$123,17,FALSE)</f>
        <v>8179</v>
      </c>
      <c r="E48" s="133">
        <f>VLOOKUP($A48,IKP!$Q$6:$AC$124,11,FALSE)</f>
        <v>71781.167239180388</v>
      </c>
      <c r="F48" s="133">
        <f>VLOOKUP($A48,IKP!$Q$6:$AC$124,12,FALSE)</f>
        <v>75631.814531654236</v>
      </c>
      <c r="G48" s="133">
        <f>VLOOKUP($A48,IKP!$Q$6:$AC$124,13,FALSE)</f>
        <v>78710.009517524421</v>
      </c>
      <c r="H48" s="132">
        <f>((-0.0000000006)*IKP!$J$5 + 0.0461)*E48</f>
        <v>1970.7495056331059</v>
      </c>
      <c r="I48" s="132">
        <f>((-0.0000000006)*IKP!$K$5 + 0.0461)*F48</f>
        <v>2004.5508506627846</v>
      </c>
      <c r="J48" s="132">
        <f>((-0.0000000006)*IKP!$L$5 + 0.0461)*G48</f>
        <v>2027.5244997566886</v>
      </c>
      <c r="K48" s="132">
        <f t="shared" si="20"/>
        <v>472.97988135194544</v>
      </c>
      <c r="L48" s="132">
        <f t="shared" si="21"/>
        <v>481.09220415906827</v>
      </c>
      <c r="M48" s="132">
        <f t="shared" si="22"/>
        <v>486.60587994160528</v>
      </c>
      <c r="N48" s="137">
        <f>VLOOKUP(A48,NSAmaksa_2021!$A$4:$N$138,12,FALSE)</f>
        <v>104.64166666666667</v>
      </c>
      <c r="O48" s="137">
        <f>VLOOKUP(A48,NSAmaksa_2021!$A$4:$N$138,14,FALSE)</f>
        <v>48.832777777777771</v>
      </c>
      <c r="P48" s="132">
        <f t="shared" si="23"/>
        <v>123733.50771117453</v>
      </c>
      <c r="Q48" s="132">
        <f t="shared" si="24"/>
        <v>125855.72515886293</v>
      </c>
      <c r="R48" s="132">
        <f t="shared" si="25"/>
        <v>127298.12571722368</v>
      </c>
      <c r="S48" s="132">
        <f t="shared" si="26"/>
        <v>97337.026066123974</v>
      </c>
      <c r="T48" s="132">
        <f t="shared" si="27"/>
        <v>99006.503791638839</v>
      </c>
      <c r="U48" s="132">
        <f t="shared" si="28"/>
        <v>100141.19223088262</v>
      </c>
      <c r="V48" s="132">
        <f t="shared" si="15"/>
        <v>26396.48164505056</v>
      </c>
      <c r="W48" s="132">
        <f t="shared" si="16"/>
        <v>26849.22136722409</v>
      </c>
      <c r="X48" s="132">
        <f t="shared" si="17"/>
        <v>27156.933486341062</v>
      </c>
      <c r="Y48" s="132">
        <f t="shared" si="18"/>
        <v>80402.636498615713</v>
      </c>
      <c r="Z48" s="138">
        <f t="shared" si="19"/>
        <v>9.6954488266917451</v>
      </c>
    </row>
    <row r="49" spans="1:26" outlineLevel="1" x14ac:dyDescent="0.3">
      <c r="A49" s="98" t="s">
        <v>44</v>
      </c>
      <c r="B49" s="132">
        <f>VLOOKUP(A49,Iedz_sk!$B$5:$Y$123,15,FALSE)</f>
        <v>9967</v>
      </c>
      <c r="C49" s="132">
        <f>VLOOKUP(A49,Iedz_sk!$B$5:$Y$123,16,FALSE)</f>
        <v>10074</v>
      </c>
      <c r="D49" s="132">
        <f>VLOOKUP(A49,Iedz_sk!$B$5:$Y$123,17,FALSE)</f>
        <v>10181</v>
      </c>
      <c r="E49" s="133">
        <f>VLOOKUP($A49,IKP!$Q$6:$AC$124,11,FALSE)</f>
        <v>129303.08539856531</v>
      </c>
      <c r="F49" s="133">
        <f>VLOOKUP($A49,IKP!$Q$6:$AC$124,12,FALSE)</f>
        <v>137781.4561656648</v>
      </c>
      <c r="G49" s="133">
        <f>VLOOKUP($A49,IKP!$Q$6:$AC$124,13,FALSE)</f>
        <v>144984.79223622716</v>
      </c>
      <c r="H49" s="132">
        <f>((-0.0000000006)*IKP!$J$5 + 0.0461)*E49</f>
        <v>3550.0118126661919</v>
      </c>
      <c r="I49" s="132">
        <f>((-0.0000000006)*IKP!$K$5 + 0.0461)*F49</f>
        <v>3651.769257061082</v>
      </c>
      <c r="J49" s="132">
        <f>((-0.0000000006)*IKP!$L$5 + 0.0461)*G49</f>
        <v>3734.7247212012471</v>
      </c>
      <c r="K49" s="132">
        <f t="shared" si="20"/>
        <v>852.00283503988601</v>
      </c>
      <c r="L49" s="132">
        <f t="shared" si="21"/>
        <v>876.42462169465978</v>
      </c>
      <c r="M49" s="132">
        <f t="shared" si="22"/>
        <v>896.33393308829932</v>
      </c>
      <c r="N49" s="137">
        <f>VLOOKUP(A49,NSAmaksa_2021!$A$4:$N$138,12,FALSE)</f>
        <v>77.599999999999994</v>
      </c>
      <c r="O49" s="137">
        <f>VLOOKUP(A49,NSAmaksa_2021!$A$4:$N$138,14,FALSE)</f>
        <v>36.213333333333331</v>
      </c>
      <c r="P49" s="132">
        <f t="shared" si="23"/>
        <v>165288.54999773786</v>
      </c>
      <c r="Q49" s="132">
        <f t="shared" si="24"/>
        <v>170026.37660876397</v>
      </c>
      <c r="R49" s="132">
        <f t="shared" si="25"/>
        <v>173888.78301913006</v>
      </c>
      <c r="S49" s="132">
        <f t="shared" si="26"/>
        <v>130026.99266488712</v>
      </c>
      <c r="T49" s="132">
        <f t="shared" si="27"/>
        <v>133754.08293222764</v>
      </c>
      <c r="U49" s="132">
        <f t="shared" si="28"/>
        <v>136792.50930838229</v>
      </c>
      <c r="V49" s="132">
        <f t="shared" si="15"/>
        <v>35261.557332850745</v>
      </c>
      <c r="W49" s="132">
        <f t="shared" si="16"/>
        <v>36272.293676536327</v>
      </c>
      <c r="X49" s="132">
        <f t="shared" si="17"/>
        <v>37096.273710747773</v>
      </c>
      <c r="Y49" s="132">
        <f t="shared" si="18"/>
        <v>108630.12472013485</v>
      </c>
      <c r="Z49" s="138">
        <f t="shared" si="19"/>
        <v>10.782092433171092</v>
      </c>
    </row>
    <row r="50" spans="1:26" outlineLevel="1" x14ac:dyDescent="0.3">
      <c r="A50" s="98" t="s">
        <v>45</v>
      </c>
      <c r="B50" s="132">
        <f>VLOOKUP(A50,Iedz_sk!$B$5:$Y$123,15,FALSE)</f>
        <v>6374</v>
      </c>
      <c r="C50" s="132">
        <f>VLOOKUP(A50,Iedz_sk!$B$5:$Y$123,16,FALSE)</f>
        <v>6227</v>
      </c>
      <c r="D50" s="132">
        <f>VLOOKUP(A50,Iedz_sk!$B$5:$Y$123,17,FALSE)</f>
        <v>6081</v>
      </c>
      <c r="E50" s="133">
        <f>VLOOKUP($A50,IKP!$Q$6:$AC$124,11,FALSE)</f>
        <v>41914.794369889132</v>
      </c>
      <c r="F50" s="133">
        <f>VLOOKUP($A50,IKP!$Q$6:$AC$124,12,FALSE)</f>
        <v>44047.159677638592</v>
      </c>
      <c r="G50" s="133">
        <f>VLOOKUP($A50,IKP!$Q$6:$AC$124,13,FALSE)</f>
        <v>45722.716432975896</v>
      </c>
      <c r="H50" s="132">
        <f>((-0.0000000006)*IKP!$J$5 + 0.0461)*E50</f>
        <v>1150.7692541127237</v>
      </c>
      <c r="I50" s="132">
        <f>((-0.0000000006)*IKP!$K$5 + 0.0461)*F50</f>
        <v>1167.428970835228</v>
      </c>
      <c r="J50" s="132">
        <f>((-0.0000000006)*IKP!$L$5 + 0.0461)*G50</f>
        <v>1177.7908341206116</v>
      </c>
      <c r="K50" s="132">
        <f t="shared" si="20"/>
        <v>276.18462098705373</v>
      </c>
      <c r="L50" s="132">
        <f t="shared" si="21"/>
        <v>280.18295300045475</v>
      </c>
      <c r="M50" s="132">
        <f t="shared" si="22"/>
        <v>282.66980018894679</v>
      </c>
      <c r="N50" s="137">
        <f>VLOOKUP(A50,NSAmaksa_2021!$A$4:$N$138,12,FALSE)</f>
        <v>92.7</v>
      </c>
      <c r="O50" s="137">
        <f>VLOOKUP(A50,NSAmaksa_2021!$A$4:$N$138,14,FALSE)</f>
        <v>43.26</v>
      </c>
      <c r="P50" s="132">
        <f t="shared" si="23"/>
        <v>64005.785913749693</v>
      </c>
      <c r="Q50" s="132">
        <f t="shared" si="24"/>
        <v>64932.399357855378</v>
      </c>
      <c r="R50" s="132">
        <f t="shared" si="25"/>
        <v>65508.726193788418</v>
      </c>
      <c r="S50" s="132">
        <f t="shared" si="26"/>
        <v>50351.21825214976</v>
      </c>
      <c r="T50" s="132">
        <f t="shared" si="27"/>
        <v>51080.154161512903</v>
      </c>
      <c r="U50" s="132">
        <f t="shared" si="28"/>
        <v>51533.531272446882</v>
      </c>
      <c r="V50" s="132">
        <f t="shared" si="15"/>
        <v>13654.567661599933</v>
      </c>
      <c r="W50" s="132">
        <f t="shared" si="16"/>
        <v>13852.245196342476</v>
      </c>
      <c r="X50" s="132">
        <f t="shared" si="17"/>
        <v>13975.194921341536</v>
      </c>
      <c r="Y50" s="132">
        <f t="shared" si="18"/>
        <v>41482.007779283944</v>
      </c>
      <c r="Z50" s="138">
        <f t="shared" si="19"/>
        <v>6.6649483686798732</v>
      </c>
    </row>
    <row r="51" spans="1:26" outlineLevel="1" x14ac:dyDescent="0.3">
      <c r="A51" s="98" t="s">
        <v>46</v>
      </c>
      <c r="B51" s="132">
        <f>VLOOKUP(A51,Iedz_sk!$B$5:$Y$123,15,FALSE)</f>
        <v>7622</v>
      </c>
      <c r="C51" s="132">
        <f>VLOOKUP(A51,Iedz_sk!$B$5:$Y$123,16,FALSE)</f>
        <v>7548</v>
      </c>
      <c r="D51" s="132">
        <f>VLOOKUP(A51,Iedz_sk!$B$5:$Y$123,17,FALSE)</f>
        <v>7474</v>
      </c>
      <c r="E51" s="133">
        <f>VLOOKUP($A51,IKP!$Q$6:$AC$124,11,FALSE)</f>
        <v>98881.119384756166</v>
      </c>
      <c r="F51" s="133">
        <f>VLOOKUP($A51,IKP!$Q$6:$AC$124,12,FALSE)</f>
        <v>103233.51510208833</v>
      </c>
      <c r="G51" s="133">
        <f>VLOOKUP($A51,IKP!$Q$6:$AC$124,13,FALSE)</f>
        <v>106435.1573689777</v>
      </c>
      <c r="H51" s="132">
        <f>((-0.0000000006)*IKP!$J$5 + 0.0461)*E51</f>
        <v>2714.7777702560161</v>
      </c>
      <c r="I51" s="132">
        <f>((-0.0000000006)*IKP!$K$5 + 0.0461)*F51</f>
        <v>2736.1082342959148</v>
      </c>
      <c r="J51" s="132">
        <f>((-0.0000000006)*IKP!$L$5 + 0.0461)*G51</f>
        <v>2741.70833574876</v>
      </c>
      <c r="K51" s="132">
        <f t="shared" si="20"/>
        <v>651.54666486144379</v>
      </c>
      <c r="L51" s="132">
        <f t="shared" si="21"/>
        <v>656.66597623101961</v>
      </c>
      <c r="M51" s="132">
        <f t="shared" si="22"/>
        <v>658.01000057970236</v>
      </c>
      <c r="N51" s="137">
        <f>VLOOKUP(A51,NSAmaksa_2021!$A$4:$N$138,12,FALSE)</f>
        <v>98.2</v>
      </c>
      <c r="O51" s="137">
        <f>VLOOKUP(A51,NSAmaksa_2021!$A$4:$N$138,14,FALSE)</f>
        <v>45.826666666666668</v>
      </c>
      <c r="P51" s="132">
        <f t="shared" si="23"/>
        <v>159954.70622348448</v>
      </c>
      <c r="Q51" s="132">
        <f t="shared" si="24"/>
        <v>161211.49716471529</v>
      </c>
      <c r="R51" s="132">
        <f t="shared" si="25"/>
        <v>161541.45514231693</v>
      </c>
      <c r="S51" s="132">
        <f t="shared" si="26"/>
        <v>125831.03556247444</v>
      </c>
      <c r="T51" s="132">
        <f t="shared" si="27"/>
        <v>126819.71110290936</v>
      </c>
      <c r="U51" s="132">
        <f t="shared" si="28"/>
        <v>127079.27804528933</v>
      </c>
      <c r="V51" s="132">
        <f t="shared" si="15"/>
        <v>34123.670661010037</v>
      </c>
      <c r="W51" s="132">
        <f t="shared" si="16"/>
        <v>34391.78606180592</v>
      </c>
      <c r="X51" s="132">
        <f t="shared" si="17"/>
        <v>34462.177097027597</v>
      </c>
      <c r="Y51" s="132">
        <f t="shared" si="18"/>
        <v>102977.63381984356</v>
      </c>
      <c r="Z51" s="138">
        <f t="shared" si="19"/>
        <v>13.644348929605682</v>
      </c>
    </row>
    <row r="52" spans="1:26" outlineLevel="1" x14ac:dyDescent="0.3">
      <c r="A52" s="98" t="s">
        <v>47</v>
      </c>
      <c r="B52" s="132">
        <f>VLOOKUP(A52,Iedz_sk!$B$5:$Y$123,15,FALSE)</f>
        <v>5039</v>
      </c>
      <c r="C52" s="132">
        <f>VLOOKUP(A52,Iedz_sk!$B$5:$Y$123,16,FALSE)</f>
        <v>4966</v>
      </c>
      <c r="D52" s="132">
        <f>VLOOKUP(A52,Iedz_sk!$B$5:$Y$123,17,FALSE)</f>
        <v>4893</v>
      </c>
      <c r="E52" s="133">
        <f>VLOOKUP($A52,IKP!$Q$6:$AC$124,11,FALSE)</f>
        <v>43003.840413533464</v>
      </c>
      <c r="F52" s="133">
        <f>VLOOKUP($A52,IKP!$Q$6:$AC$124,12,FALSE)</f>
        <v>45278.793365183235</v>
      </c>
      <c r="G52" s="133">
        <f>VLOOKUP($A52,IKP!$Q$6:$AC$124,13,FALSE)</f>
        <v>47087.428361565835</v>
      </c>
      <c r="H52" s="132">
        <f>((-0.0000000006)*IKP!$J$5 + 0.0461)*E52</f>
        <v>1180.6689762079682</v>
      </c>
      <c r="I52" s="132">
        <f>((-0.0000000006)*IKP!$K$5 + 0.0461)*F52</f>
        <v>1200.072275393778</v>
      </c>
      <c r="J52" s="132">
        <f>((-0.0000000006)*IKP!$L$5 + 0.0461)*G52</f>
        <v>1212.9450271805204</v>
      </c>
      <c r="K52" s="132">
        <f t="shared" si="20"/>
        <v>283.36055428991239</v>
      </c>
      <c r="L52" s="132">
        <f t="shared" si="21"/>
        <v>288.01734609450671</v>
      </c>
      <c r="M52" s="132">
        <f t="shared" si="22"/>
        <v>291.10680652332491</v>
      </c>
      <c r="N52" s="137">
        <f>VLOOKUP(A52,NSAmaksa_2021!$A$4:$N$138,12,FALSE)</f>
        <v>104.95</v>
      </c>
      <c r="O52" s="137">
        <f>VLOOKUP(A52,NSAmaksa_2021!$A$4:$N$138,14,FALSE)</f>
        <v>48.976666666666667</v>
      </c>
      <c r="P52" s="132">
        <f t="shared" si="23"/>
        <v>74346.72543181575</v>
      </c>
      <c r="Q52" s="132">
        <f t="shared" si="24"/>
        <v>75568.551181546209</v>
      </c>
      <c r="R52" s="132">
        <f t="shared" si="25"/>
        <v>76379.148361557367</v>
      </c>
      <c r="S52" s="132">
        <f t="shared" si="26"/>
        <v>58486.09067302839</v>
      </c>
      <c r="T52" s="132">
        <f t="shared" si="27"/>
        <v>59447.260262816344</v>
      </c>
      <c r="U52" s="132">
        <f t="shared" si="28"/>
        <v>60084.930044425128</v>
      </c>
      <c r="V52" s="132">
        <f t="shared" si="15"/>
        <v>15860.634758787361</v>
      </c>
      <c r="W52" s="132">
        <f t="shared" si="16"/>
        <v>16121.290918729865</v>
      </c>
      <c r="X52" s="132">
        <f t="shared" si="17"/>
        <v>16294.218317132239</v>
      </c>
      <c r="Y52" s="132">
        <f t="shared" si="18"/>
        <v>48276.143994649465</v>
      </c>
      <c r="Z52" s="138">
        <f t="shared" si="19"/>
        <v>9.7240170839655882</v>
      </c>
    </row>
    <row r="53" spans="1:26" outlineLevel="1" x14ac:dyDescent="0.3">
      <c r="A53" s="98" t="s">
        <v>48</v>
      </c>
      <c r="B53" s="132">
        <f>VLOOKUP(A53,Iedz_sk!$B$5:$Y$123,15,FALSE)</f>
        <v>1992</v>
      </c>
      <c r="C53" s="132">
        <f>VLOOKUP(A53,Iedz_sk!$B$5:$Y$123,16,FALSE)</f>
        <v>1942</v>
      </c>
      <c r="D53" s="132">
        <f>VLOOKUP(A53,Iedz_sk!$B$5:$Y$123,17,FALSE)</f>
        <v>1893</v>
      </c>
      <c r="E53" s="133">
        <f>VLOOKUP($A53,IKP!$Q$6:$AC$124,11,FALSE)</f>
        <v>18811.029512602898</v>
      </c>
      <c r="F53" s="133">
        <f>VLOOKUP($A53,IKP!$Q$6:$AC$124,12,FALSE)</f>
        <v>19731.18135897279</v>
      </c>
      <c r="G53" s="133">
        <f>VLOOKUP($A53,IKP!$Q$6:$AC$124,13,FALSE)</f>
        <v>20448.823659913232</v>
      </c>
      <c r="H53" s="132">
        <f>((-0.0000000006)*IKP!$J$5 + 0.0461)*E53</f>
        <v>516.45617559945401</v>
      </c>
      <c r="I53" s="132">
        <f>((-0.0000000006)*IKP!$K$5 + 0.0461)*F53</f>
        <v>522.95659733453556</v>
      </c>
      <c r="J53" s="132">
        <f>((-0.0000000006)*IKP!$L$5 + 0.0461)*G53</f>
        <v>526.74991676182333</v>
      </c>
      <c r="K53" s="132">
        <f t="shared" si="20"/>
        <v>123.94948214386898</v>
      </c>
      <c r="L53" s="132">
        <f t="shared" si="21"/>
        <v>125.50958336028854</v>
      </c>
      <c r="M53" s="132">
        <f t="shared" si="22"/>
        <v>126.41998002283761</v>
      </c>
      <c r="N53" s="137">
        <f>VLOOKUP(A53,NSAmaksa_2021!$A$4:$N$138,12,FALSE)</f>
        <v>123.84350000000001</v>
      </c>
      <c r="O53" s="137">
        <f>VLOOKUP(A53,NSAmaksa_2021!$A$4:$N$138,14,FALSE)</f>
        <v>57.793633333333325</v>
      </c>
      <c r="P53" s="132">
        <f t="shared" si="23"/>
        <v>38375.844229710587</v>
      </c>
      <c r="Q53" s="132">
        <f t="shared" si="24"/>
        <v>38858.865217199731</v>
      </c>
      <c r="R53" s="132">
        <f t="shared" si="25"/>
        <v>39140.731989895721</v>
      </c>
      <c r="S53" s="132">
        <f t="shared" si="26"/>
        <v>30188.997460705665</v>
      </c>
      <c r="T53" s="132">
        <f t="shared" si="27"/>
        <v>30568.97397086379</v>
      </c>
      <c r="U53" s="132">
        <f t="shared" si="28"/>
        <v>30790.709165384633</v>
      </c>
      <c r="V53" s="132">
        <f t="shared" si="15"/>
        <v>8186.846769004922</v>
      </c>
      <c r="W53" s="132">
        <f t="shared" si="16"/>
        <v>8289.8912463359411</v>
      </c>
      <c r="X53" s="132">
        <f t="shared" si="17"/>
        <v>8350.0228245110884</v>
      </c>
      <c r="Y53" s="132">
        <f t="shared" si="18"/>
        <v>24826.760839851951</v>
      </c>
      <c r="Z53" s="138">
        <f t="shared" si="19"/>
        <v>12.789601798927475</v>
      </c>
    </row>
    <row r="54" spans="1:26" outlineLevel="1" x14ac:dyDescent="0.3">
      <c r="A54" s="98" t="s">
        <v>49</v>
      </c>
      <c r="B54" s="132">
        <f>VLOOKUP(A54,Iedz_sk!$B$5:$Y$123,15,FALSE)</f>
        <v>2188</v>
      </c>
      <c r="C54" s="132">
        <f>VLOOKUP(A54,Iedz_sk!$B$5:$Y$123,16,FALSE)</f>
        <v>2158</v>
      </c>
      <c r="D54" s="132">
        <f>VLOOKUP(A54,Iedz_sk!$B$5:$Y$123,17,FALSE)</f>
        <v>2128</v>
      </c>
      <c r="E54" s="133">
        <f>VLOOKUP($A54,IKP!$Q$6:$AC$124,11,FALSE)</f>
        <v>28385.186199664982</v>
      </c>
      <c r="F54" s="133">
        <f>VLOOKUP($A54,IKP!$Q$6:$AC$124,12,FALSE)</f>
        <v>29514.828509579576</v>
      </c>
      <c r="G54" s="133">
        <f>VLOOKUP($A54,IKP!$Q$6:$AC$124,13,FALSE)</f>
        <v>30304.256740859586</v>
      </c>
      <c r="H54" s="132">
        <f>((-0.0000000006)*IKP!$J$5 + 0.0461)*E54</f>
        <v>779.31432187354551</v>
      </c>
      <c r="I54" s="132">
        <f>((-0.0000000006)*IKP!$K$5 + 0.0461)*F54</f>
        <v>782.26305903690843</v>
      </c>
      <c r="J54" s="132">
        <f>((-0.0000000006)*IKP!$L$5 + 0.0461)*G54</f>
        <v>780.62019513959876</v>
      </c>
      <c r="K54" s="132">
        <f t="shared" si="20"/>
        <v>187.03543724965093</v>
      </c>
      <c r="L54" s="132">
        <f t="shared" si="21"/>
        <v>187.74313416885801</v>
      </c>
      <c r="M54" s="132">
        <f t="shared" si="22"/>
        <v>187.3488468335037</v>
      </c>
      <c r="N54" s="137">
        <f>VLOOKUP(A54,NSAmaksa_2021!$A$4:$N$138,12,FALSE)</f>
        <v>86.05</v>
      </c>
      <c r="O54" s="137">
        <f>VLOOKUP(A54,NSAmaksa_2021!$A$4:$N$138,14,FALSE)</f>
        <v>63.533333333333331</v>
      </c>
      <c r="P54" s="132">
        <f t="shared" si="23"/>
        <v>40235.998438331153</v>
      </c>
      <c r="Q54" s="132">
        <f t="shared" si="24"/>
        <v>40388.24173807558</v>
      </c>
      <c r="R54" s="132">
        <f t="shared" si="25"/>
        <v>40303.420675057481</v>
      </c>
      <c r="S54" s="132">
        <f t="shared" si="26"/>
        <v>36024.583842926513</v>
      </c>
      <c r="T54" s="132">
        <f t="shared" si="27"/>
        <v>36160.892167040125</v>
      </c>
      <c r="U54" s="132">
        <f t="shared" si="28"/>
        <v>36084.949140523087</v>
      </c>
      <c r="V54" s="132">
        <f t="shared" si="15"/>
        <v>4211.4145954046398</v>
      </c>
      <c r="W54" s="132">
        <f t="shared" si="16"/>
        <v>4227.3495710354546</v>
      </c>
      <c r="X54" s="132">
        <f t="shared" si="17"/>
        <v>4218.4715345343939</v>
      </c>
      <c r="Y54" s="132">
        <f t="shared" si="18"/>
        <v>12657.235700974488</v>
      </c>
      <c r="Z54" s="138">
        <f t="shared" si="19"/>
        <v>5.8660626921770884</v>
      </c>
    </row>
    <row r="55" spans="1:26" outlineLevel="1" x14ac:dyDescent="0.3">
      <c r="A55" s="98" t="s">
        <v>50</v>
      </c>
      <c r="B55" s="132">
        <f>VLOOKUP(A55,Iedz_sk!$B$5:$Y$123,15,FALSE)</f>
        <v>22021</v>
      </c>
      <c r="C55" s="132">
        <f>VLOOKUP(A55,Iedz_sk!$B$5:$Y$123,16,FALSE)</f>
        <v>21627</v>
      </c>
      <c r="D55" s="132">
        <f>VLOOKUP(A55,Iedz_sk!$B$5:$Y$123,17,FALSE)</f>
        <v>21232</v>
      </c>
      <c r="E55" s="133">
        <f>VLOOKUP($A55,IKP!$Q$6:$AC$124,11,FALSE)</f>
        <v>187931.64710188934</v>
      </c>
      <c r="F55" s="133">
        <f>VLOOKUP($A55,IKP!$Q$6:$AC$124,12,FALSE)</f>
        <v>197189.78334853359</v>
      </c>
      <c r="G55" s="133">
        <f>VLOOKUP($A55,IKP!$Q$6:$AC$124,13,FALSE)</f>
        <v>204324.60228341832</v>
      </c>
      <c r="H55" s="132">
        <f>((-0.0000000006)*IKP!$J$5 + 0.0461)*E55</f>
        <v>5159.6569805667132</v>
      </c>
      <c r="I55" s="132">
        <f>((-0.0000000006)*IKP!$K$5 + 0.0461)*F55</f>
        <v>5226.3316753808367</v>
      </c>
      <c r="J55" s="132">
        <f>((-0.0000000006)*IKP!$L$5 + 0.0461)*G55</f>
        <v>5263.2840419163722</v>
      </c>
      <c r="K55" s="132">
        <f t="shared" si="20"/>
        <v>1238.3176753360112</v>
      </c>
      <c r="L55" s="132">
        <f t="shared" si="21"/>
        <v>1254.3196020914008</v>
      </c>
      <c r="M55" s="132">
        <f t="shared" si="22"/>
        <v>1263.1881700599292</v>
      </c>
      <c r="N55" s="137">
        <f>VLOOKUP(A55,NSAmaksa_2021!$A$4:$N$138,12,FALSE)</f>
        <v>118.95000000000002</v>
      </c>
      <c r="O55" s="137">
        <f>VLOOKUP(A55,NSAmaksa_2021!$A$4:$N$138,14,FALSE)</f>
        <v>55.510000000000005</v>
      </c>
      <c r="P55" s="132">
        <f t="shared" si="23"/>
        <v>368244.71870304632</v>
      </c>
      <c r="Q55" s="132">
        <f t="shared" si="24"/>
        <v>373003.29167193035</v>
      </c>
      <c r="R55" s="132">
        <f t="shared" si="25"/>
        <v>375640.58207157155</v>
      </c>
      <c r="S55" s="132">
        <f t="shared" si="26"/>
        <v>289685.84537972976</v>
      </c>
      <c r="T55" s="132">
        <f t="shared" si="27"/>
        <v>293429.25611525186</v>
      </c>
      <c r="U55" s="132">
        <f t="shared" si="28"/>
        <v>295503.92456296959</v>
      </c>
      <c r="V55" s="132">
        <f t="shared" si="15"/>
        <v>78558.873323316569</v>
      </c>
      <c r="W55" s="132">
        <f t="shared" si="16"/>
        <v>79574.035556678486</v>
      </c>
      <c r="X55" s="132">
        <f t="shared" si="17"/>
        <v>80136.657508601958</v>
      </c>
      <c r="Y55" s="132">
        <f t="shared" si="18"/>
        <v>238269.56638859701</v>
      </c>
      <c r="Z55" s="138">
        <f t="shared" si="19"/>
        <v>11.021170387210164</v>
      </c>
    </row>
    <row r="56" spans="1:26" outlineLevel="1" x14ac:dyDescent="0.3">
      <c r="A56" s="98" t="s">
        <v>51</v>
      </c>
      <c r="B56" s="132">
        <f>VLOOKUP(A56,Iedz_sk!$B$5:$Y$123,15,FALSE)</f>
        <v>4164</v>
      </c>
      <c r="C56" s="132">
        <f>VLOOKUP(A56,Iedz_sk!$B$5:$Y$123,16,FALSE)</f>
        <v>4079</v>
      </c>
      <c r="D56" s="132">
        <f>VLOOKUP(A56,Iedz_sk!$B$5:$Y$123,17,FALSE)</f>
        <v>3994</v>
      </c>
      <c r="E56" s="133">
        <f>VLOOKUP($A56,IKP!$Q$6:$AC$124,11,FALSE)</f>
        <v>35536.414265122708</v>
      </c>
      <c r="F56" s="133">
        <f>VLOOKUP($A56,IKP!$Q$6:$AC$124,12,FALSE)</f>
        <v>37191.340744378256</v>
      </c>
      <c r="G56" s="133">
        <f>VLOOKUP($A56,IKP!$Q$6:$AC$124,13,FALSE)</f>
        <v>38435.967479275278</v>
      </c>
      <c r="H56" s="132">
        <f>((-0.0000000006)*IKP!$J$5 + 0.0461)*E56</f>
        <v>975.651045233177</v>
      </c>
      <c r="I56" s="132">
        <f>((-0.0000000006)*IKP!$K$5 + 0.0461)*F56</f>
        <v>985.72187098896904</v>
      </c>
      <c r="J56" s="132">
        <f>((-0.0000000006)*IKP!$L$5 + 0.0461)*G56</f>
        <v>990.0883790228894</v>
      </c>
      <c r="K56" s="132">
        <f t="shared" si="20"/>
        <v>234.15625085596247</v>
      </c>
      <c r="L56" s="132">
        <f t="shared" si="21"/>
        <v>236.57324903735255</v>
      </c>
      <c r="M56" s="132">
        <f t="shared" si="22"/>
        <v>237.62121096549345</v>
      </c>
      <c r="N56" s="137">
        <f>VLOOKUP(A56,NSAmaksa_2021!$A$4:$N$138,12,FALSE)</f>
        <v>111.2</v>
      </c>
      <c r="O56" s="137">
        <f>VLOOKUP(A56,NSAmaksa_2021!$A$4:$N$138,14,FALSE)</f>
        <v>51.893333333333324</v>
      </c>
      <c r="P56" s="132">
        <f t="shared" si="23"/>
        <v>65095.437737957574</v>
      </c>
      <c r="Q56" s="132">
        <f t="shared" si="24"/>
        <v>65767.363232384014</v>
      </c>
      <c r="R56" s="132">
        <f t="shared" si="25"/>
        <v>66058.696648407175</v>
      </c>
      <c r="S56" s="132">
        <f t="shared" si="26"/>
        <v>51208.411020526619</v>
      </c>
      <c r="T56" s="132">
        <f t="shared" si="27"/>
        <v>51736.992409475424</v>
      </c>
      <c r="U56" s="132">
        <f t="shared" si="28"/>
        <v>51966.174696746981</v>
      </c>
      <c r="V56" s="132">
        <f t="shared" si="15"/>
        <v>13887.026717430956</v>
      </c>
      <c r="W56" s="132">
        <f t="shared" si="16"/>
        <v>14030.37082290859</v>
      </c>
      <c r="X56" s="132">
        <f t="shared" si="17"/>
        <v>14092.521951660194</v>
      </c>
      <c r="Y56" s="132">
        <f t="shared" si="18"/>
        <v>42009.919491999739</v>
      </c>
      <c r="Z56" s="138">
        <f t="shared" si="19"/>
        <v>10.303103380056912</v>
      </c>
    </row>
    <row r="57" spans="1:26" outlineLevel="1" x14ac:dyDescent="0.3">
      <c r="A57" s="98" t="s">
        <v>52</v>
      </c>
      <c r="B57" s="132">
        <f>VLOOKUP(A57,Iedz_sk!$B$5:$Y$123,15,FALSE)</f>
        <v>7462</v>
      </c>
      <c r="C57" s="132">
        <f>VLOOKUP(A57,Iedz_sk!$B$5:$Y$123,16,FALSE)</f>
        <v>7332</v>
      </c>
      <c r="D57" s="132">
        <f>VLOOKUP(A57,Iedz_sk!$B$5:$Y$123,17,FALSE)</f>
        <v>7203</v>
      </c>
      <c r="E57" s="133">
        <f>VLOOKUP($A57,IKP!$Q$6:$AC$124,11,FALSE)</f>
        <v>96805.420211106088</v>
      </c>
      <c r="F57" s="133">
        <f>VLOOKUP($A57,IKP!$Q$6:$AC$124,12,FALSE)</f>
        <v>100279.29686387278</v>
      </c>
      <c r="G57" s="133">
        <f>VLOOKUP($A57,IKP!$Q$6:$AC$124,13,FALSE)</f>
        <v>102575.92166560695</v>
      </c>
      <c r="H57" s="132">
        <f>((-0.0000000006)*IKP!$J$5 + 0.0461)*E57</f>
        <v>2657.7895200276039</v>
      </c>
      <c r="I57" s="132">
        <f>((-0.0000000006)*IKP!$K$5 + 0.0461)*F57</f>
        <v>2657.8094294988937</v>
      </c>
      <c r="J57" s="132">
        <f>((-0.0000000006)*IKP!$L$5 + 0.0461)*G57</f>
        <v>2642.2966473639704</v>
      </c>
      <c r="K57" s="132">
        <f t="shared" si="20"/>
        <v>637.86948480662488</v>
      </c>
      <c r="L57" s="132">
        <f t="shared" si="21"/>
        <v>637.87426307973453</v>
      </c>
      <c r="M57" s="132">
        <f t="shared" si="22"/>
        <v>634.1511953673529</v>
      </c>
      <c r="N57" s="137">
        <f>VLOOKUP(A57,NSAmaksa_2021!$A$4:$N$138,12,FALSE)</f>
        <v>86.05</v>
      </c>
      <c r="O57" s="137">
        <f>VLOOKUP(A57,NSAmaksa_2021!$A$4:$N$138,14,FALSE)</f>
        <v>63.533333333333331</v>
      </c>
      <c r="P57" s="132">
        <f t="shared" si="23"/>
        <v>137221.67291902518</v>
      </c>
      <c r="Q57" s="132">
        <f t="shared" si="24"/>
        <v>137222.70084502787</v>
      </c>
      <c r="R57" s="132">
        <f t="shared" si="25"/>
        <v>136421.77590340178</v>
      </c>
      <c r="S57" s="132">
        <f t="shared" si="26"/>
        <v>122858.978352796</v>
      </c>
      <c r="T57" s="132">
        <f t="shared" si="27"/>
        <v>122859.89868801585</v>
      </c>
      <c r="U57" s="132">
        <f t="shared" si="28"/>
        <v>122142.80482104688</v>
      </c>
      <c r="V57" s="132">
        <f t="shared" si="15"/>
        <v>14362.694566229184</v>
      </c>
      <c r="W57" s="132">
        <f t="shared" si="16"/>
        <v>14362.802157012018</v>
      </c>
      <c r="X57" s="132">
        <f t="shared" si="17"/>
        <v>14278.971082354896</v>
      </c>
      <c r="Y57" s="132">
        <f t="shared" si="18"/>
        <v>43004.467805596098</v>
      </c>
      <c r="Z57" s="138">
        <f t="shared" si="19"/>
        <v>5.8660626921770884</v>
      </c>
    </row>
    <row r="58" spans="1:26" outlineLevel="1" x14ac:dyDescent="0.3">
      <c r="A58" s="98" t="s">
        <v>53</v>
      </c>
      <c r="B58" s="132">
        <f>VLOOKUP(A58,Iedz_sk!$B$5:$Y$123,15,FALSE)</f>
        <v>5127</v>
      </c>
      <c r="C58" s="132">
        <f>VLOOKUP(A58,Iedz_sk!$B$5:$Y$123,16,FALSE)</f>
        <v>5004</v>
      </c>
      <c r="D58" s="132">
        <f>VLOOKUP(A58,Iedz_sk!$B$5:$Y$123,17,FALSE)</f>
        <v>4880</v>
      </c>
      <c r="E58" s="133">
        <f>VLOOKUP($A58,IKP!$Q$6:$AC$124,11,FALSE)</f>
        <v>33714.645549799432</v>
      </c>
      <c r="F58" s="133">
        <f>VLOOKUP($A58,IKP!$Q$6:$AC$124,12,FALSE)</f>
        <v>35396.175851437853</v>
      </c>
      <c r="G58" s="133">
        <f>VLOOKUP($A58,IKP!$Q$6:$AC$124,13,FALSE)</f>
        <v>36692.461140095766</v>
      </c>
      <c r="H58" s="132">
        <f>((-0.0000000006)*IKP!$J$5 + 0.0461)*E58</f>
        <v>925.63444710322165</v>
      </c>
      <c r="I58" s="132">
        <f>((-0.0000000006)*IKP!$K$5 + 0.0461)*F58</f>
        <v>938.14269633201877</v>
      </c>
      <c r="J58" s="132">
        <f>((-0.0000000006)*IKP!$L$5 + 0.0461)*G58</f>
        <v>945.17666017243619</v>
      </c>
      <c r="K58" s="132">
        <f t="shared" si="20"/>
        <v>222.1522673047732</v>
      </c>
      <c r="L58" s="132">
        <f t="shared" si="21"/>
        <v>225.15424711968453</v>
      </c>
      <c r="M58" s="132">
        <f t="shared" si="22"/>
        <v>226.84239844138469</v>
      </c>
      <c r="N58" s="137">
        <f>VLOOKUP(A58,NSAmaksa_2021!$A$4:$N$138,12,FALSE)</f>
        <v>78.650000000000006</v>
      </c>
      <c r="O58" s="137">
        <f>VLOOKUP(A58,NSAmaksa_2021!$A$4:$N$138,14,FALSE)</f>
        <v>36.703333333333333</v>
      </c>
      <c r="P58" s="132">
        <f t="shared" si="23"/>
        <v>43680.689558801037</v>
      </c>
      <c r="Q58" s="132">
        <f t="shared" si="24"/>
        <v>44270.953839907968</v>
      </c>
      <c r="R58" s="132">
        <f t="shared" si="25"/>
        <v>44602.886593537267</v>
      </c>
      <c r="S58" s="132">
        <f t="shared" si="26"/>
        <v>34362.142452923479</v>
      </c>
      <c r="T58" s="132">
        <f t="shared" si="27"/>
        <v>34826.483687394262</v>
      </c>
      <c r="U58" s="132">
        <f t="shared" si="28"/>
        <v>35087.604120249314</v>
      </c>
      <c r="V58" s="132">
        <f t="shared" si="15"/>
        <v>9318.5471058775584</v>
      </c>
      <c r="W58" s="132">
        <f t="shared" si="16"/>
        <v>9444.4701525137061</v>
      </c>
      <c r="X58" s="132">
        <f t="shared" si="17"/>
        <v>9515.2824732879526</v>
      </c>
      <c r="Y58" s="132">
        <f t="shared" si="18"/>
        <v>28278.299731679217</v>
      </c>
      <c r="Z58" s="138">
        <f t="shared" si="19"/>
        <v>5.654780897482981</v>
      </c>
    </row>
    <row r="59" spans="1:26" outlineLevel="1" x14ac:dyDescent="0.3">
      <c r="A59" s="98" t="s">
        <v>54</v>
      </c>
      <c r="B59" s="132">
        <f>VLOOKUP(A59,Iedz_sk!$B$5:$Y$123,15,FALSE)</f>
        <v>5776</v>
      </c>
      <c r="C59" s="132">
        <f>VLOOKUP(A59,Iedz_sk!$B$5:$Y$123,16,FALSE)</f>
        <v>5687</v>
      </c>
      <c r="D59" s="132">
        <f>VLOOKUP(A59,Iedz_sk!$B$5:$Y$123,17,FALSE)</f>
        <v>5598</v>
      </c>
      <c r="E59" s="133">
        <f>VLOOKUP($A59,IKP!$Q$6:$AC$124,11,FALSE)</f>
        <v>54544.430956222051</v>
      </c>
      <c r="F59" s="133">
        <f>VLOOKUP($A59,IKP!$Q$6:$AC$124,12,FALSE)</f>
        <v>57781.271054829172</v>
      </c>
      <c r="G59" s="133">
        <f>VLOOKUP($A59,IKP!$Q$6:$AC$124,13,FALSE)</f>
        <v>60471.481694767186</v>
      </c>
      <c r="H59" s="132">
        <f>((-0.0000000006)*IKP!$J$5 + 0.0461)*E59</f>
        <v>1497.5154971197019</v>
      </c>
      <c r="I59" s="132">
        <f>((-0.0000000006)*IKP!$K$5 + 0.0461)*F59</f>
        <v>1531.4388100110732</v>
      </c>
      <c r="J59" s="132">
        <f>((-0.0000000006)*IKP!$L$5 + 0.0461)*G59</f>
        <v>1557.7105303923336</v>
      </c>
      <c r="K59" s="132">
        <f t="shared" si="20"/>
        <v>359.40371930872845</v>
      </c>
      <c r="L59" s="132">
        <f t="shared" si="21"/>
        <v>367.5453144026576</v>
      </c>
      <c r="M59" s="132">
        <f t="shared" si="22"/>
        <v>373.85052729416009</v>
      </c>
      <c r="N59" s="137">
        <f>VLOOKUP(A59,NSAmaksa_2021!$A$4:$N$138,12,FALSE)</f>
        <v>123.84350000000001</v>
      </c>
      <c r="O59" s="137">
        <f>VLOOKUP(A59,NSAmaksa_2021!$A$4:$N$138,14,FALSE)</f>
        <v>57.793633333333325</v>
      </c>
      <c r="P59" s="132">
        <f t="shared" si="23"/>
        <v>111274.53628052628</v>
      </c>
      <c r="Q59" s="132">
        <f t="shared" si="24"/>
        <v>113795.2453605638</v>
      </c>
      <c r="R59" s="132">
        <f t="shared" si="25"/>
        <v>115747.39444238578</v>
      </c>
      <c r="S59" s="132">
        <f t="shared" si="26"/>
        <v>87535.968540680668</v>
      </c>
      <c r="T59" s="132">
        <f t="shared" si="27"/>
        <v>89518.926350310183</v>
      </c>
      <c r="U59" s="132">
        <f t="shared" si="28"/>
        <v>91054.616961343461</v>
      </c>
      <c r="V59" s="132">
        <f t="shared" si="15"/>
        <v>23738.567739845617</v>
      </c>
      <c r="W59" s="132">
        <f t="shared" si="16"/>
        <v>24276.319010253617</v>
      </c>
      <c r="X59" s="132">
        <f t="shared" si="17"/>
        <v>24692.777481042314</v>
      </c>
      <c r="Y59" s="132">
        <f t="shared" si="18"/>
        <v>72707.664231141549</v>
      </c>
      <c r="Z59" s="138">
        <f t="shared" si="19"/>
        <v>12.789601798927484</v>
      </c>
    </row>
    <row r="60" spans="1:26" outlineLevel="1" x14ac:dyDescent="0.3">
      <c r="A60" s="98" t="s">
        <v>55</v>
      </c>
      <c r="B60" s="132">
        <f>VLOOKUP(A60,Iedz_sk!$B$5:$Y$123,15,FALSE)</f>
        <v>4851</v>
      </c>
      <c r="C60" s="132">
        <f>VLOOKUP(A60,Iedz_sk!$B$5:$Y$123,16,FALSE)</f>
        <v>4789</v>
      </c>
      <c r="D60" s="132">
        <f>VLOOKUP(A60,Iedz_sk!$B$5:$Y$123,17,FALSE)</f>
        <v>4727</v>
      </c>
      <c r="E60" s="133">
        <f>VLOOKUP($A60,IKP!$Q$6:$AC$124,11,FALSE)</f>
        <v>41399.410566789207</v>
      </c>
      <c r="F60" s="133">
        <f>VLOOKUP($A60,IKP!$Q$6:$AC$124,12,FALSE)</f>
        <v>43664.949944797125</v>
      </c>
      <c r="G60" s="133">
        <f>VLOOKUP($A60,IKP!$Q$6:$AC$124,13,FALSE)</f>
        <v>45489.939477850334</v>
      </c>
      <c r="H60" s="132">
        <f>((-0.0000000006)*IKP!$J$5 + 0.0461)*E60</f>
        <v>1136.6194093242416</v>
      </c>
      <c r="I60" s="132">
        <f>((-0.0000000006)*IKP!$K$5 + 0.0461)*F60</f>
        <v>1157.298857603867</v>
      </c>
      <c r="J60" s="132">
        <f>((-0.0000000006)*IKP!$L$5 + 0.0461)*G60</f>
        <v>1171.7946338610911</v>
      </c>
      <c r="K60" s="132">
        <f t="shared" si="20"/>
        <v>272.78865823781797</v>
      </c>
      <c r="L60" s="132">
        <f t="shared" si="21"/>
        <v>277.75172582492809</v>
      </c>
      <c r="M60" s="132">
        <f t="shared" si="22"/>
        <v>281.2307121266619</v>
      </c>
      <c r="N60" s="137">
        <f>VLOOKUP(A60,NSAmaksa_2021!$A$4:$N$138,12,FALSE)</f>
        <v>79.8</v>
      </c>
      <c r="O60" s="137">
        <f>VLOOKUP(A60,NSAmaksa_2021!$A$4:$N$138,14,FALSE)</f>
        <v>37.24</v>
      </c>
      <c r="P60" s="132">
        <f t="shared" si="23"/>
        <v>54421.337318444683</v>
      </c>
      <c r="Q60" s="132">
        <f t="shared" si="24"/>
        <v>55411.469302073143</v>
      </c>
      <c r="R60" s="132">
        <f t="shared" si="25"/>
        <v>56105.527069269039</v>
      </c>
      <c r="S60" s="132">
        <f t="shared" si="26"/>
        <v>42811.452023843158</v>
      </c>
      <c r="T60" s="132">
        <f t="shared" si="27"/>
        <v>43590.355850964203</v>
      </c>
      <c r="U60" s="132">
        <f t="shared" si="28"/>
        <v>44136.34796115831</v>
      </c>
      <c r="V60" s="132">
        <f t="shared" si="15"/>
        <v>11609.885294601525</v>
      </c>
      <c r="W60" s="132">
        <f t="shared" si="16"/>
        <v>11821.11345110894</v>
      </c>
      <c r="X60" s="132">
        <f t="shared" si="17"/>
        <v>11969.179108110729</v>
      </c>
      <c r="Y60" s="132">
        <f t="shared" si="18"/>
        <v>35400.177853821195</v>
      </c>
      <c r="Z60" s="138">
        <f t="shared" si="19"/>
        <v>7.3937738284940782</v>
      </c>
    </row>
    <row r="61" spans="1:26" outlineLevel="1" x14ac:dyDescent="0.3">
      <c r="A61" s="98" t="s">
        <v>56</v>
      </c>
      <c r="B61" s="132">
        <f>VLOOKUP(A61,Iedz_sk!$B$5:$Y$123,15,FALSE)</f>
        <v>13533</v>
      </c>
      <c r="C61" s="132">
        <f>VLOOKUP(A61,Iedz_sk!$B$5:$Y$123,16,FALSE)</f>
        <v>13158</v>
      </c>
      <c r="D61" s="132">
        <f>VLOOKUP(A61,Iedz_sk!$B$5:$Y$123,17,FALSE)</f>
        <v>12782</v>
      </c>
      <c r="E61" s="133">
        <f>VLOOKUP($A61,IKP!$Q$6:$AC$124,11,FALSE)</f>
        <v>88991.671196691183</v>
      </c>
      <c r="F61" s="133">
        <f>VLOOKUP($A61,IKP!$Q$6:$AC$124,12,FALSE)</f>
        <v>93074.117076982264</v>
      </c>
      <c r="G61" s="133">
        <f>VLOOKUP($A61,IKP!$Q$6:$AC$124,13,FALSE)</f>
        <v>96107.17997801314</v>
      </c>
      <c r="H61" s="132">
        <f>((-0.0000000006)*IKP!$J$5 + 0.0461)*E61</f>
        <v>2443.2633065433779</v>
      </c>
      <c r="I61" s="132">
        <f>((-0.0000000006)*IKP!$K$5 + 0.0461)*F61</f>
        <v>2466.8428453910274</v>
      </c>
      <c r="J61" s="132">
        <f>((-0.0000000006)*IKP!$L$5 + 0.0461)*G61</f>
        <v>2475.6655881811639</v>
      </c>
      <c r="K61" s="132">
        <f t="shared" si="20"/>
        <v>586.38319357041064</v>
      </c>
      <c r="L61" s="132">
        <f t="shared" si="21"/>
        <v>592.04228289384662</v>
      </c>
      <c r="M61" s="132">
        <f t="shared" si="22"/>
        <v>594.15974116347934</v>
      </c>
      <c r="N61" s="137">
        <f>VLOOKUP(A61,NSAmaksa_2021!$A$4:$N$138,12,FALSE)</f>
        <v>163.108</v>
      </c>
      <c r="O61" s="137">
        <f>VLOOKUP(A61,NSAmaksa_2021!$A$4:$N$138,14,FALSE)</f>
        <v>114.17559999999999</v>
      </c>
      <c r="P61" s="132">
        <f t="shared" si="23"/>
        <v>239109.47484220634</v>
      </c>
      <c r="Q61" s="132">
        <f t="shared" si="24"/>
        <v>241417.08169562381</v>
      </c>
      <c r="R61" s="132">
        <f t="shared" si="25"/>
        <v>242280.51765423198</v>
      </c>
      <c r="S61" s="132">
        <f t="shared" si="26"/>
        <v>210416.3378611416</v>
      </c>
      <c r="T61" s="132">
        <f t="shared" si="27"/>
        <v>212447.03189214895</v>
      </c>
      <c r="U61" s="132">
        <f t="shared" si="28"/>
        <v>213206.85553572411</v>
      </c>
      <c r="V61" s="132">
        <f t="shared" si="15"/>
        <v>28693.136981064745</v>
      </c>
      <c r="W61" s="132">
        <f t="shared" si="16"/>
        <v>28970.04980347486</v>
      </c>
      <c r="X61" s="132">
        <f t="shared" si="17"/>
        <v>29073.662118507869</v>
      </c>
      <c r="Y61" s="132">
        <f t="shared" si="18"/>
        <v>86736.848903047474</v>
      </c>
      <c r="Z61" s="138">
        <f t="shared" si="19"/>
        <v>6.5965194084868752</v>
      </c>
    </row>
    <row r="62" spans="1:26" outlineLevel="1" x14ac:dyDescent="0.3">
      <c r="A62" s="98" t="s">
        <v>57</v>
      </c>
      <c r="B62" s="132">
        <f>VLOOKUP(A62,Iedz_sk!$B$5:$Y$123,15,FALSE)</f>
        <v>4833</v>
      </c>
      <c r="C62" s="132">
        <f>VLOOKUP(A62,Iedz_sk!$B$5:$Y$123,16,FALSE)</f>
        <v>4764</v>
      </c>
      <c r="D62" s="132">
        <f>VLOOKUP(A62,Iedz_sk!$B$5:$Y$123,17,FALSE)</f>
        <v>4694</v>
      </c>
      <c r="E62" s="133">
        <f>VLOOKUP($A62,IKP!$Q$6:$AC$124,11,FALSE)</f>
        <v>62699.088164068038</v>
      </c>
      <c r="F62" s="133">
        <f>VLOOKUP($A62,IKP!$Q$6:$AC$124,12,FALSE)</f>
        <v>65156.924476198838</v>
      </c>
      <c r="G62" s="133">
        <f>VLOOKUP($A62,IKP!$Q$6:$AC$124,13,FALSE)</f>
        <v>66845.949784584067</v>
      </c>
      <c r="H62" s="132">
        <f>((-0.0000000006)*IKP!$J$5 + 0.0461)*E62</f>
        <v>1721.4013334619951</v>
      </c>
      <c r="I62" s="132">
        <f>((-0.0000000006)*IKP!$K$5 + 0.0461)*F62</f>
        <v>1726.9236391343056</v>
      </c>
      <c r="J62" s="132">
        <f>((-0.0000000006)*IKP!$L$5 + 0.0461)*G62</f>
        <v>1721.9131560081187</v>
      </c>
      <c r="K62" s="132">
        <f t="shared" si="20"/>
        <v>413.13632003087884</v>
      </c>
      <c r="L62" s="132">
        <f t="shared" si="21"/>
        <v>414.46167339223337</v>
      </c>
      <c r="M62" s="132">
        <f t="shared" si="22"/>
        <v>413.2591574419485</v>
      </c>
      <c r="N62" s="137">
        <f>VLOOKUP(A62,NSAmaksa_2021!$A$4:$N$138,12,FALSE)</f>
        <v>119.12449999999998</v>
      </c>
      <c r="O62" s="137">
        <f>VLOOKUP(A62,NSAmaksa_2021!$A$4:$N$138,14,FALSE)</f>
        <v>55.591433333333335</v>
      </c>
      <c r="P62" s="132">
        <f t="shared" si="23"/>
        <v>123036.64388879602</v>
      </c>
      <c r="Q62" s="132">
        <f t="shared" si="24"/>
        <v>123431.34903003272</v>
      </c>
      <c r="R62" s="132">
        <f t="shared" si="25"/>
        <v>123073.22625173345</v>
      </c>
      <c r="S62" s="132">
        <f t="shared" si="26"/>
        <v>96788.826525852885</v>
      </c>
      <c r="T62" s="132">
        <f t="shared" si="27"/>
        <v>97099.32790362573</v>
      </c>
      <c r="U62" s="132">
        <f t="shared" si="28"/>
        <v>96817.604651363654</v>
      </c>
      <c r="V62" s="132">
        <f t="shared" si="15"/>
        <v>26247.81736294314</v>
      </c>
      <c r="W62" s="132">
        <f t="shared" si="16"/>
        <v>26332.021126406995</v>
      </c>
      <c r="X62" s="132">
        <f t="shared" si="17"/>
        <v>26255.621600369792</v>
      </c>
      <c r="Y62" s="132">
        <f t="shared" si="18"/>
        <v>78835.460089719927</v>
      </c>
      <c r="Z62" s="138">
        <f t="shared" si="19"/>
        <v>16.551692913083624</v>
      </c>
    </row>
    <row r="63" spans="1:26" outlineLevel="1" x14ac:dyDescent="0.3">
      <c r="A63" s="98" t="s">
        <v>58</v>
      </c>
      <c r="B63" s="132">
        <f>VLOOKUP(A63,Iedz_sk!$B$5:$Y$123,15,FALSE)</f>
        <v>5461</v>
      </c>
      <c r="C63" s="132">
        <f>VLOOKUP(A63,Iedz_sk!$B$5:$Y$123,16,FALSE)</f>
        <v>5389</v>
      </c>
      <c r="D63" s="132">
        <f>VLOOKUP(A63,Iedz_sk!$B$5:$Y$123,17,FALSE)</f>
        <v>5317</v>
      </c>
      <c r="E63" s="133">
        <f>VLOOKUP($A63,IKP!$Q$6:$AC$124,11,FALSE)</f>
        <v>46605.273367395566</v>
      </c>
      <c r="F63" s="133">
        <f>VLOOKUP($A63,IKP!$Q$6:$AC$124,12,FALSE)</f>
        <v>49135.605607122925</v>
      </c>
      <c r="G63" s="133">
        <f>VLOOKUP($A63,IKP!$Q$6:$AC$124,13,FALSE)</f>
        <v>51167.761413947585</v>
      </c>
      <c r="H63" s="132">
        <f>((-0.0000000006)*IKP!$J$5 + 0.0461)*E63</f>
        <v>1279.5461954895245</v>
      </c>
      <c r="I63" s="132">
        <f>((-0.0000000006)*IKP!$K$5 + 0.0461)*F63</f>
        <v>1302.2934941798367</v>
      </c>
      <c r="J63" s="132">
        <f>((-0.0000000006)*IKP!$L$5 + 0.0461)*G63</f>
        <v>1318.0520559000258</v>
      </c>
      <c r="K63" s="132">
        <f t="shared" si="20"/>
        <v>307.09108691748588</v>
      </c>
      <c r="L63" s="132">
        <f t="shared" si="21"/>
        <v>312.55043860316084</v>
      </c>
      <c r="M63" s="132">
        <f t="shared" si="22"/>
        <v>316.33249341600623</v>
      </c>
      <c r="N63" s="137">
        <f>VLOOKUP(A63,NSAmaksa_2021!$A$4:$N$138,12,FALSE)</f>
        <v>111.2</v>
      </c>
      <c r="O63" s="137">
        <f>VLOOKUP(A63,NSAmaksa_2021!$A$4:$N$138,14,FALSE)</f>
        <v>51.893333333333324</v>
      </c>
      <c r="P63" s="132">
        <f t="shared" si="23"/>
        <v>85371.322163061079</v>
      </c>
      <c r="Q63" s="132">
        <f t="shared" si="24"/>
        <v>86889.021931678697</v>
      </c>
      <c r="R63" s="132">
        <f t="shared" si="25"/>
        <v>87940.433169649725</v>
      </c>
      <c r="S63" s="132">
        <f t="shared" si="26"/>
        <v>67158.77343494138</v>
      </c>
      <c r="T63" s="132">
        <f t="shared" si="27"/>
        <v>68352.697252920567</v>
      </c>
      <c r="U63" s="132">
        <f t="shared" si="28"/>
        <v>69179.807426791114</v>
      </c>
      <c r="V63" s="132">
        <f t="shared" si="15"/>
        <v>18212.548728119698</v>
      </c>
      <c r="W63" s="132">
        <f t="shared" si="16"/>
        <v>18536.32467875813</v>
      </c>
      <c r="X63" s="132">
        <f t="shared" si="17"/>
        <v>18760.62574285861</v>
      </c>
      <c r="Y63" s="132">
        <f t="shared" si="18"/>
        <v>55509.499149736439</v>
      </c>
      <c r="Z63" s="138">
        <f t="shared" si="19"/>
        <v>10.303103380056916</v>
      </c>
    </row>
    <row r="64" spans="1:26" outlineLevel="1" x14ac:dyDescent="0.3">
      <c r="A64" s="98" t="s">
        <v>59</v>
      </c>
      <c r="B64" s="132">
        <f>VLOOKUP(A64,Iedz_sk!$B$5:$Y$123,15,FALSE)</f>
        <v>21907</v>
      </c>
      <c r="C64" s="132">
        <f>VLOOKUP(A64,Iedz_sk!$B$5:$Y$123,16,FALSE)</f>
        <v>21570</v>
      </c>
      <c r="D64" s="132">
        <f>VLOOKUP(A64,Iedz_sk!$B$5:$Y$123,17,FALSE)</f>
        <v>21234</v>
      </c>
      <c r="E64" s="133">
        <f>VLOOKUP($A64,IKP!$Q$6:$AC$124,11,FALSE)</f>
        <v>209894.59112891389</v>
      </c>
      <c r="F64" s="133">
        <f>VLOOKUP($A64,IKP!$Q$6:$AC$124,12,FALSE)</f>
        <v>221149.69083791066</v>
      </c>
      <c r="G64" s="133">
        <f>VLOOKUP($A64,IKP!$Q$6:$AC$124,13,FALSE)</f>
        <v>230154.97413396061</v>
      </c>
      <c r="H64" s="132">
        <f>((-0.0000000006)*IKP!$J$5 + 0.0461)*E64</f>
        <v>5762.6488619787606</v>
      </c>
      <c r="I64" s="132">
        <f>((-0.0000000006)*IKP!$K$5 + 0.0461)*F64</f>
        <v>5861.3667229603298</v>
      </c>
      <c r="J64" s="132">
        <f>((-0.0000000006)*IKP!$L$5 + 0.0461)*G64</f>
        <v>5928.6595397193505</v>
      </c>
      <c r="K64" s="132">
        <f t="shared" si="20"/>
        <v>1383.0357268749026</v>
      </c>
      <c r="L64" s="132">
        <f t="shared" si="21"/>
        <v>1406.7280135104791</v>
      </c>
      <c r="M64" s="132">
        <f t="shared" si="22"/>
        <v>1422.878289532644</v>
      </c>
      <c r="N64" s="137">
        <f>VLOOKUP(A64,NSAmaksa_2021!$A$4:$N$138,12,FALSE)</f>
        <v>86.75</v>
      </c>
      <c r="O64" s="137">
        <f>VLOOKUP(A64,NSAmaksa_2021!$A$4:$N$138,14,FALSE)</f>
        <v>40.483333333333334</v>
      </c>
      <c r="P64" s="132">
        <f t="shared" si="23"/>
        <v>299945.87326599448</v>
      </c>
      <c r="Q64" s="132">
        <f t="shared" si="24"/>
        <v>305084.13793008518</v>
      </c>
      <c r="R64" s="132">
        <f t="shared" si="25"/>
        <v>308586.72904239222</v>
      </c>
      <c r="S64" s="132">
        <f t="shared" si="26"/>
        <v>235957.42030258232</v>
      </c>
      <c r="T64" s="132">
        <f t="shared" si="27"/>
        <v>239999.52183833363</v>
      </c>
      <c r="U64" s="132">
        <f t="shared" si="28"/>
        <v>242754.89351334851</v>
      </c>
      <c r="V64" s="132">
        <f t="shared" si="15"/>
        <v>63988.452963412157</v>
      </c>
      <c r="W64" s="132">
        <f t="shared" si="16"/>
        <v>65084.616091751552</v>
      </c>
      <c r="X64" s="132">
        <f t="shared" si="17"/>
        <v>65831.835529043718</v>
      </c>
      <c r="Y64" s="132">
        <f t="shared" si="18"/>
        <v>194904.90458420743</v>
      </c>
      <c r="Z64" s="138">
        <f t="shared" si="19"/>
        <v>9.0385840776225042</v>
      </c>
    </row>
    <row r="65" spans="1:26" outlineLevel="1" x14ac:dyDescent="0.3">
      <c r="A65" s="98" t="s">
        <v>60</v>
      </c>
      <c r="B65" s="132">
        <f>VLOOKUP(A65,Iedz_sk!$B$5:$Y$123,15,FALSE)</f>
        <v>5313</v>
      </c>
      <c r="C65" s="132">
        <f>VLOOKUP(A65,Iedz_sk!$B$5:$Y$123,16,FALSE)</f>
        <v>5254</v>
      </c>
      <c r="D65" s="132">
        <f>VLOOKUP(A65,Iedz_sk!$B$5:$Y$123,17,FALSE)</f>
        <v>5196</v>
      </c>
      <c r="E65" s="133">
        <f>VLOOKUP($A65,IKP!$Q$6:$AC$124,11,FALSE)</f>
        <v>68926.18568501831</v>
      </c>
      <c r="F65" s="133">
        <f>VLOOKUP($A65,IKP!$Q$6:$AC$124,12,FALSE)</f>
        <v>71858.623257336003</v>
      </c>
      <c r="G65" s="133">
        <f>VLOOKUP($A65,IKP!$Q$6:$AC$124,13,FALSE)</f>
        <v>73994.792305219176</v>
      </c>
      <c r="H65" s="132">
        <f>((-0.0000000006)*IKP!$J$5 + 0.0461)*E65</f>
        <v>1892.3660841472338</v>
      </c>
      <c r="I65" s="132">
        <f>((-0.0000000006)*IKP!$K$5 + 0.0461)*F65</f>
        <v>1904.5459277942155</v>
      </c>
      <c r="J65" s="132">
        <f>((-0.0000000006)*IKP!$L$5 + 0.0461)*G65</f>
        <v>1906.0632208389825</v>
      </c>
      <c r="K65" s="132">
        <f t="shared" si="20"/>
        <v>454.16786019533612</v>
      </c>
      <c r="L65" s="132">
        <f t="shared" si="21"/>
        <v>457.09102267061172</v>
      </c>
      <c r="M65" s="132">
        <f t="shared" si="22"/>
        <v>457.45517300135577</v>
      </c>
      <c r="N65" s="137">
        <f>VLOOKUP(A65,NSAmaksa_2021!$A$4:$N$138,12,FALSE)</f>
        <v>91.111499999999992</v>
      </c>
      <c r="O65" s="137">
        <f>VLOOKUP(A65,NSAmaksa_2021!$A$4:$N$138,14,FALSE)</f>
        <v>42.518700000000003</v>
      </c>
      <c r="P65" s="132">
        <f t="shared" si="23"/>
        <v>103449.78748546841</v>
      </c>
      <c r="Q65" s="132">
        <f t="shared" si="24"/>
        <v>104115.62178013359</v>
      </c>
      <c r="R65" s="132">
        <f t="shared" si="25"/>
        <v>104198.56748728256</v>
      </c>
      <c r="S65" s="132">
        <f t="shared" si="26"/>
        <v>81380.499488568472</v>
      </c>
      <c r="T65" s="132">
        <f t="shared" si="27"/>
        <v>81904.289133705082</v>
      </c>
      <c r="U65" s="132">
        <f t="shared" si="28"/>
        <v>81969.539756662285</v>
      </c>
      <c r="V65" s="132">
        <f t="shared" si="15"/>
        <v>22069.287996899933</v>
      </c>
      <c r="W65" s="132">
        <f t="shared" si="16"/>
        <v>22211.332646428506</v>
      </c>
      <c r="X65" s="132">
        <f t="shared" si="17"/>
        <v>22229.027730620277</v>
      </c>
      <c r="Y65" s="132">
        <f t="shared" si="18"/>
        <v>66509.648373948716</v>
      </c>
      <c r="Z65" s="138">
        <f t="shared" si="19"/>
        <v>12.659440911402937</v>
      </c>
    </row>
    <row r="66" spans="1:26" outlineLevel="1" x14ac:dyDescent="0.3">
      <c r="A66" s="98" t="s">
        <v>61</v>
      </c>
      <c r="B66" s="132">
        <f>VLOOKUP(A66,Iedz_sk!$B$5:$Y$123,15,FALSE)</f>
        <v>24631</v>
      </c>
      <c r="C66" s="132">
        <f>VLOOKUP(A66,Iedz_sk!$B$5:$Y$123,16,FALSE)</f>
        <v>24660</v>
      </c>
      <c r="D66" s="132">
        <f>VLOOKUP(A66,Iedz_sk!$B$5:$Y$123,17,FALSE)</f>
        <v>24688</v>
      </c>
      <c r="E66" s="133">
        <f>VLOOKUP($A66,IKP!$Q$6:$AC$124,11,FALSE)</f>
        <v>319540.91466359608</v>
      </c>
      <c r="F66" s="133">
        <f>VLOOKUP($A66,IKP!$Q$6:$AC$124,12,FALSE)</f>
        <v>337273.24886294361</v>
      </c>
      <c r="G66" s="133">
        <f>VLOOKUP($A66,IKP!$Q$6:$AC$124,13,FALSE)</f>
        <v>351574.9485048597</v>
      </c>
      <c r="H66" s="132">
        <f>((-0.0000000006)*IKP!$J$5 + 0.0461)*E66</f>
        <v>8772.9849461002286</v>
      </c>
      <c r="I66" s="132">
        <f>((-0.0000000006)*IKP!$K$5 + 0.0461)*F66</f>
        <v>8939.1135476599447</v>
      </c>
      <c r="J66" s="132">
        <f>((-0.0000000006)*IKP!$L$5 + 0.0461)*G66</f>
        <v>9056.3681285744424</v>
      </c>
      <c r="K66" s="132">
        <f t="shared" si="20"/>
        <v>2105.5163870640549</v>
      </c>
      <c r="L66" s="132">
        <f t="shared" si="21"/>
        <v>2145.3872514383866</v>
      </c>
      <c r="M66" s="132">
        <f t="shared" si="22"/>
        <v>2173.5283508578664</v>
      </c>
      <c r="N66" s="137">
        <f>VLOOKUP(A66,NSAmaksa_2021!$A$4:$N$138,12,FALSE)</f>
        <v>76.650000000000006</v>
      </c>
      <c r="O66" s="137">
        <f>VLOOKUP(A66,NSAmaksa_2021!$A$4:$N$138,14,FALSE)</f>
        <v>35.769999999999996</v>
      </c>
      <c r="P66" s="132">
        <f t="shared" si="23"/>
        <v>403469.57767114951</v>
      </c>
      <c r="Q66" s="132">
        <f t="shared" si="24"/>
        <v>411109.83205688087</v>
      </c>
      <c r="R66" s="132">
        <f t="shared" si="25"/>
        <v>416502.37023313862</v>
      </c>
      <c r="S66" s="132">
        <f t="shared" si="26"/>
        <v>317396.0677679709</v>
      </c>
      <c r="T66" s="132">
        <f t="shared" si="27"/>
        <v>323406.40121807961</v>
      </c>
      <c r="U66" s="132">
        <f t="shared" si="28"/>
        <v>327648.53125006903</v>
      </c>
      <c r="V66" s="132">
        <f t="shared" si="15"/>
        <v>86073.509903178609</v>
      </c>
      <c r="W66" s="132">
        <f t="shared" si="16"/>
        <v>87703.430838801258</v>
      </c>
      <c r="X66" s="132">
        <f t="shared" si="17"/>
        <v>88853.838983069581</v>
      </c>
      <c r="Y66" s="132">
        <f t="shared" si="18"/>
        <v>262630.77972504945</v>
      </c>
      <c r="Z66" s="138">
        <f t="shared" si="19"/>
        <v>10.650095167558817</v>
      </c>
    </row>
    <row r="67" spans="1:26" outlineLevel="1" x14ac:dyDescent="0.3">
      <c r="A67" s="98" t="s">
        <v>62</v>
      </c>
      <c r="B67" s="132">
        <f>VLOOKUP(A67,Iedz_sk!$B$5:$Y$123,15,FALSE)</f>
        <v>9547</v>
      </c>
      <c r="C67" s="132">
        <f>VLOOKUP(A67,Iedz_sk!$B$5:$Y$123,16,FALSE)</f>
        <v>9451</v>
      </c>
      <c r="D67" s="132">
        <f>VLOOKUP(A67,Iedz_sk!$B$5:$Y$123,17,FALSE)</f>
        <v>9356</v>
      </c>
      <c r="E67" s="133">
        <f>VLOOKUP($A67,IKP!$Q$6:$AC$124,11,FALSE)</f>
        <v>123854.37506773382</v>
      </c>
      <c r="F67" s="133">
        <f>VLOOKUP($A67,IKP!$Q$6:$AC$124,12,FALSE)</f>
        <v>129260.72485821898</v>
      </c>
      <c r="G67" s="133">
        <f>VLOOKUP($A67,IKP!$Q$6:$AC$124,13,FALSE)</f>
        <v>133236.19646028301</v>
      </c>
      <c r="H67" s="132">
        <f>((-0.0000000006)*IKP!$J$5 + 0.0461)*E67</f>
        <v>3400.4176558166087</v>
      </c>
      <c r="I67" s="132">
        <f>((-0.0000000006)*IKP!$K$5 + 0.0461)*F67</f>
        <v>3425.9352043363397</v>
      </c>
      <c r="J67" s="132">
        <f>((-0.0000000006)*IKP!$L$5 + 0.0461)*G67</f>
        <v>3432.0876624652656</v>
      </c>
      <c r="K67" s="132">
        <f t="shared" si="20"/>
        <v>816.10023739598614</v>
      </c>
      <c r="L67" s="132">
        <f t="shared" si="21"/>
        <v>822.22444904072165</v>
      </c>
      <c r="M67" s="132">
        <f t="shared" si="22"/>
        <v>823.70103899166372</v>
      </c>
      <c r="N67" s="137">
        <f>VLOOKUP(A67,NSAmaksa_2021!$A$4:$N$138,12,FALSE)</f>
        <v>103.9</v>
      </c>
      <c r="O67" s="137">
        <f>VLOOKUP(A67,NSAmaksa_2021!$A$4:$N$138,14,FALSE)</f>
        <v>48.486666666666672</v>
      </c>
      <c r="P67" s="132">
        <f t="shared" si="23"/>
        <v>211982.03666360737</v>
      </c>
      <c r="Q67" s="132">
        <f t="shared" si="24"/>
        <v>213572.8006383274</v>
      </c>
      <c r="R67" s="132">
        <f t="shared" si="25"/>
        <v>213956.34487808467</v>
      </c>
      <c r="S67" s="132">
        <f t="shared" si="26"/>
        <v>166759.20217537115</v>
      </c>
      <c r="T67" s="132">
        <f t="shared" si="27"/>
        <v>168010.60316881756</v>
      </c>
      <c r="U67" s="132">
        <f t="shared" si="28"/>
        <v>168312.32463742659</v>
      </c>
      <c r="V67" s="132">
        <f t="shared" si="15"/>
        <v>45222.834488236229</v>
      </c>
      <c r="W67" s="132">
        <f t="shared" si="16"/>
        <v>45562.197469509847</v>
      </c>
      <c r="X67" s="132">
        <f t="shared" si="17"/>
        <v>45644.020240658079</v>
      </c>
      <c r="Y67" s="132">
        <f t="shared" si="18"/>
        <v>136429.05219840416</v>
      </c>
      <c r="Z67" s="138">
        <f t="shared" si="19"/>
        <v>14.436332523279335</v>
      </c>
    </row>
    <row r="68" spans="1:26" outlineLevel="1" x14ac:dyDescent="0.3">
      <c r="A68" s="98" t="s">
        <v>63</v>
      </c>
      <c r="B68" s="132">
        <f>VLOOKUP(A68,Iedz_sk!$B$5:$Y$123,15,FALSE)</f>
        <v>16744</v>
      </c>
      <c r="C68" s="132">
        <f>VLOOKUP(A68,Iedz_sk!$B$5:$Y$123,16,FALSE)</f>
        <v>16441</v>
      </c>
      <c r="D68" s="132">
        <f>VLOOKUP(A68,Iedz_sk!$B$5:$Y$123,17,FALSE)</f>
        <v>16138</v>
      </c>
      <c r="E68" s="133">
        <f>VLOOKUP($A68,IKP!$Q$6:$AC$124,11,FALSE)</f>
        <v>217221.91852248195</v>
      </c>
      <c r="F68" s="133">
        <f>VLOOKUP($A68,IKP!$Q$6:$AC$124,12,FALSE)</f>
        <v>224862.50951158378</v>
      </c>
      <c r="G68" s="133">
        <f>VLOOKUP($A68,IKP!$Q$6:$AC$124,13,FALSE)</f>
        <v>229816.77409962029</v>
      </c>
      <c r="H68" s="132">
        <f>((-0.0000000006)*IKP!$J$5 + 0.0461)*E68</f>
        <v>5963.8203864034031</v>
      </c>
      <c r="I68" s="132">
        <f>((-0.0000000006)*IKP!$K$5 + 0.0461)*F68</f>
        <v>5959.7715262399497</v>
      </c>
      <c r="J68" s="132">
        <f>((-0.0000000006)*IKP!$L$5 + 0.0461)*G68</f>
        <v>5919.9477016742685</v>
      </c>
      <c r="K68" s="132">
        <f t="shared" si="20"/>
        <v>1431.3168927368167</v>
      </c>
      <c r="L68" s="132">
        <f t="shared" si="21"/>
        <v>1430.3451662975881</v>
      </c>
      <c r="M68" s="132">
        <f t="shared" si="22"/>
        <v>1420.7874484018243</v>
      </c>
      <c r="N68" s="137">
        <f>VLOOKUP(A68,NSAmaksa_2021!$A$4:$N$138,12,FALSE)</f>
        <v>121.96799999999999</v>
      </c>
      <c r="O68" s="137">
        <f>VLOOKUP(A68,NSAmaksa_2021!$A$4:$N$138,14,FALSE)</f>
        <v>56.918399999999991</v>
      </c>
      <c r="P68" s="132">
        <f t="shared" si="23"/>
        <v>436437.14693331014</v>
      </c>
      <c r="Q68" s="132">
        <f t="shared" si="24"/>
        <v>436140.84810746042</v>
      </c>
      <c r="R68" s="132">
        <f t="shared" si="25"/>
        <v>433226.50876668427</v>
      </c>
      <c r="S68" s="132">
        <f t="shared" si="26"/>
        <v>343330.55558753724</v>
      </c>
      <c r="T68" s="132">
        <f t="shared" si="27"/>
        <v>343097.46717786882</v>
      </c>
      <c r="U68" s="132">
        <f t="shared" si="28"/>
        <v>340804.85356312495</v>
      </c>
      <c r="V68" s="132">
        <f t="shared" si="15"/>
        <v>93106.591345772904</v>
      </c>
      <c r="W68" s="132">
        <f t="shared" si="16"/>
        <v>93043.3809295916</v>
      </c>
      <c r="X68" s="132">
        <f t="shared" si="17"/>
        <v>92421.655203559319</v>
      </c>
      <c r="Y68" s="132">
        <f t="shared" si="18"/>
        <v>278571.62747892382</v>
      </c>
      <c r="Z68" s="138">
        <f t="shared" si="19"/>
        <v>16.946781570734693</v>
      </c>
    </row>
    <row r="69" spans="1:26" outlineLevel="1" x14ac:dyDescent="0.3">
      <c r="A69" s="98" t="s">
        <v>64</v>
      </c>
      <c r="B69" s="132">
        <f>VLOOKUP(A69,Iedz_sk!$B$5:$Y$123,15,FALSE)</f>
        <v>3258</v>
      </c>
      <c r="C69" s="132">
        <f>VLOOKUP(A69,Iedz_sk!$B$5:$Y$123,16,FALSE)</f>
        <v>3171</v>
      </c>
      <c r="D69" s="132">
        <f>VLOOKUP(A69,Iedz_sk!$B$5:$Y$123,17,FALSE)</f>
        <v>3085</v>
      </c>
      <c r="E69" s="133">
        <f>VLOOKUP($A69,IKP!$Q$6:$AC$124,11,FALSE)</f>
        <v>30766.232004046302</v>
      </c>
      <c r="F69" s="133">
        <f>VLOOKUP($A69,IKP!$Q$6:$AC$124,12,FALSE)</f>
        <v>32218.113331257835</v>
      </c>
      <c r="G69" s="133">
        <f>VLOOKUP($A69,IKP!$Q$6:$AC$124,13,FALSE)</f>
        <v>33325.209186916174</v>
      </c>
      <c r="H69" s="132">
        <f>((-0.0000000006)*IKP!$J$5 + 0.0461)*E69</f>
        <v>844.68585346537202</v>
      </c>
      <c r="I69" s="132">
        <f>((-0.0000000006)*IKP!$K$5 + 0.0461)*F69</f>
        <v>853.91110718218965</v>
      </c>
      <c r="J69" s="132">
        <f>((-0.0000000006)*IKP!$L$5 + 0.0461)*G69</f>
        <v>858.43818975711827</v>
      </c>
      <c r="K69" s="132">
        <f t="shared" ref="K69:K100" si="29">H69*$AB$6*$AB$5</f>
        <v>202.72460483168931</v>
      </c>
      <c r="L69" s="132">
        <f t="shared" ref="L69:L100" si="30">I69*$AB$6*$AB$5</f>
        <v>204.93866572372551</v>
      </c>
      <c r="M69" s="132">
        <f t="shared" ref="M69:M100" si="31">J69*$AB$6*$AB$5</f>
        <v>206.02516554170839</v>
      </c>
      <c r="N69" s="137">
        <f>VLOOKUP(A69,NSAmaksa_2021!$A$4:$N$138,12,FALSE)</f>
        <v>123.84350000000001</v>
      </c>
      <c r="O69" s="137">
        <f>VLOOKUP(A69,NSAmaksa_2021!$A$4:$N$138,14,FALSE)</f>
        <v>57.793633333333325</v>
      </c>
      <c r="P69" s="132">
        <f t="shared" si="23"/>
        <v>62765.311496183276</v>
      </c>
      <c r="Q69" s="132">
        <f t="shared" si="24"/>
        <v>63450.804121390494</v>
      </c>
      <c r="R69" s="132">
        <f t="shared" si="25"/>
        <v>63787.193971911409</v>
      </c>
      <c r="S69" s="132">
        <f t="shared" si="26"/>
        <v>49375.378376997513</v>
      </c>
      <c r="T69" s="132">
        <f t="shared" si="27"/>
        <v>49914.632575493859</v>
      </c>
      <c r="U69" s="132">
        <f t="shared" si="28"/>
        <v>50179.259257903635</v>
      </c>
      <c r="V69" s="132">
        <f t="shared" si="15"/>
        <v>13389.933119185764</v>
      </c>
      <c r="W69" s="132">
        <f t="shared" si="16"/>
        <v>13536.171545896636</v>
      </c>
      <c r="X69" s="132">
        <f t="shared" si="17"/>
        <v>13607.934714007773</v>
      </c>
      <c r="Y69" s="132">
        <f t="shared" si="18"/>
        <v>40534.039379090173</v>
      </c>
      <c r="Z69" s="138">
        <f t="shared" si="19"/>
        <v>12.789601798927478</v>
      </c>
    </row>
    <row r="70" spans="1:26" outlineLevel="1" x14ac:dyDescent="0.3">
      <c r="A70" s="98" t="s">
        <v>65</v>
      </c>
      <c r="B70" s="132">
        <f>VLOOKUP(A70,Iedz_sk!$B$5:$Y$123,15,FALSE)</f>
        <v>10636</v>
      </c>
      <c r="C70" s="132">
        <f>VLOOKUP(A70,Iedz_sk!$B$5:$Y$123,16,FALSE)</f>
        <v>10414</v>
      </c>
      <c r="D70" s="132">
        <f>VLOOKUP(A70,Iedz_sk!$B$5:$Y$123,17,FALSE)</f>
        <v>10192</v>
      </c>
      <c r="E70" s="133">
        <f>VLOOKUP($A70,IKP!$Q$6:$AC$124,11,FALSE)</f>
        <v>69941.285365255855</v>
      </c>
      <c r="F70" s="133">
        <f>VLOOKUP($A70,IKP!$Q$6:$AC$124,12,FALSE)</f>
        <v>73664.223684427212</v>
      </c>
      <c r="G70" s="133">
        <f>VLOOKUP($A70,IKP!$Q$6:$AC$124,13,FALSE)</f>
        <v>76633.107364724608</v>
      </c>
      <c r="H70" s="132">
        <f>((-0.0000000006)*IKP!$J$5 + 0.0461)*E70</f>
        <v>1920.235611349691</v>
      </c>
      <c r="I70" s="132">
        <f>((-0.0000000006)*IKP!$K$5 + 0.0461)*F70</f>
        <v>1952.4016865710717</v>
      </c>
      <c r="J70" s="132">
        <f>((-0.0000000006)*IKP!$L$5 + 0.0461)*G70</f>
        <v>1974.0246968191539</v>
      </c>
      <c r="K70" s="132">
        <f t="shared" si="29"/>
        <v>460.85654672392582</v>
      </c>
      <c r="L70" s="132">
        <f t="shared" si="30"/>
        <v>468.57640477705718</v>
      </c>
      <c r="M70" s="132">
        <f t="shared" si="31"/>
        <v>473.76592723659689</v>
      </c>
      <c r="N70" s="137">
        <f>VLOOKUP(A70,NSAmaksa_2021!$A$4:$N$138,12,FALSE)</f>
        <v>115.85</v>
      </c>
      <c r="O70" s="137">
        <f>VLOOKUP(A70,NSAmaksa_2021!$A$4:$N$138,14,FALSE)</f>
        <v>54.06333333333334</v>
      </c>
      <c r="P70" s="132">
        <f t="shared" ref="P70:P101" si="32">H70*$AB$5*$N70</f>
        <v>133475.57734491702</v>
      </c>
      <c r="Q70" s="132">
        <f t="shared" ref="Q70:Q101" si="33">I70*$AB$5*$N70</f>
        <v>135711.44123355518</v>
      </c>
      <c r="R70" s="132">
        <f t="shared" ref="R70:R101" si="34">J70*$AB$5*$N70</f>
        <v>137214.45667589936</v>
      </c>
      <c r="S70" s="132">
        <f t="shared" ref="S70:S101" si="35">H70*$AB$5*(1-$AB$6)*$N70+K70*$O70</f>
        <v>105000.78751133473</v>
      </c>
      <c r="T70" s="132">
        <f t="shared" ref="T70:T101" si="36">I70*$AB$5*(1-$AB$6)*$N70+L70*$O70</f>
        <v>106759.66710373008</v>
      </c>
      <c r="U70" s="132">
        <f t="shared" ref="U70:U101" si="37">J70*$AB$5*(1-$AB$6)*$N70+M70*$O70</f>
        <v>107942.03925170749</v>
      </c>
      <c r="V70" s="132">
        <f t="shared" si="15"/>
        <v>28474.789833582297</v>
      </c>
      <c r="W70" s="132">
        <f t="shared" si="16"/>
        <v>28951.774129825091</v>
      </c>
      <c r="X70" s="132">
        <f t="shared" si="17"/>
        <v>29272.417424191866</v>
      </c>
      <c r="Y70" s="132">
        <f t="shared" si="18"/>
        <v>86698.981387599255</v>
      </c>
      <c r="Z70" s="138">
        <f t="shared" si="19"/>
        <v>8.3293880098334743</v>
      </c>
    </row>
    <row r="71" spans="1:26" outlineLevel="1" x14ac:dyDescent="0.3">
      <c r="A71" s="98" t="s">
        <v>66</v>
      </c>
      <c r="B71" s="132">
        <f>VLOOKUP(A71,Iedz_sk!$B$5:$Y$123,15,FALSE)</f>
        <v>2163</v>
      </c>
      <c r="C71" s="132">
        <f>VLOOKUP(A71,Iedz_sk!$B$5:$Y$123,16,FALSE)</f>
        <v>2123</v>
      </c>
      <c r="D71" s="132">
        <f>VLOOKUP(A71,Iedz_sk!$B$5:$Y$123,17,FALSE)</f>
        <v>2083</v>
      </c>
      <c r="E71" s="133">
        <f>VLOOKUP($A71,IKP!$Q$6:$AC$124,11,FALSE)</f>
        <v>20425.831744859472</v>
      </c>
      <c r="F71" s="133">
        <f>VLOOKUP($A71,IKP!$Q$6:$AC$124,12,FALSE)</f>
        <v>21570.184358959439</v>
      </c>
      <c r="G71" s="133">
        <f>VLOOKUP($A71,IKP!$Q$6:$AC$124,13,FALSE)</f>
        <v>22501.267661700615</v>
      </c>
      <c r="H71" s="132">
        <f>((-0.0000000006)*IKP!$J$5 + 0.0461)*E71</f>
        <v>560.79051597470834</v>
      </c>
      <c r="I71" s="132">
        <f>((-0.0000000006)*IKP!$K$5 + 0.0461)*F71</f>
        <v>571.69766021689964</v>
      </c>
      <c r="J71" s="132">
        <f>((-0.0000000006)*IKP!$L$5 + 0.0461)*G71</f>
        <v>579.61969181979816</v>
      </c>
      <c r="K71" s="132">
        <f t="shared" si="29"/>
        <v>134.58972383393001</v>
      </c>
      <c r="L71" s="132">
        <f t="shared" si="30"/>
        <v>137.20743845205592</v>
      </c>
      <c r="M71" s="132">
        <f t="shared" si="31"/>
        <v>139.10872603675156</v>
      </c>
      <c r="N71" s="137">
        <f>VLOOKUP(A71,NSAmaksa_2021!$A$4:$N$138,12,FALSE)</f>
        <v>99.15</v>
      </c>
      <c r="O71" s="137">
        <f>VLOOKUP(A71,NSAmaksa_2021!$A$4:$N$138,14,FALSE)</f>
        <v>46.269999999999996</v>
      </c>
      <c r="P71" s="132">
        <f t="shared" si="32"/>
        <v>33361.427795335403</v>
      </c>
      <c r="Q71" s="132">
        <f t="shared" si="33"/>
        <v>34010.293806303358</v>
      </c>
      <c r="R71" s="132">
        <f t="shared" si="34"/>
        <v>34481.575466359791</v>
      </c>
      <c r="S71" s="132">
        <f t="shared" si="35"/>
        <v>26244.323198997179</v>
      </c>
      <c r="T71" s="132">
        <f t="shared" si="36"/>
        <v>26754.764460958642</v>
      </c>
      <c r="U71" s="132">
        <f t="shared" si="37"/>
        <v>27125.506033536367</v>
      </c>
      <c r="V71" s="132">
        <f t="shared" si="15"/>
        <v>7117.1045963382239</v>
      </c>
      <c r="W71" s="132">
        <f t="shared" si="16"/>
        <v>7255.5293453447157</v>
      </c>
      <c r="X71" s="132">
        <f t="shared" si="17"/>
        <v>7356.069432823424</v>
      </c>
      <c r="Y71" s="132">
        <f t="shared" si="18"/>
        <v>21728.703374506364</v>
      </c>
      <c r="Z71" s="138">
        <f t="shared" si="19"/>
        <v>10.239447515321029</v>
      </c>
    </row>
    <row r="72" spans="1:26" outlineLevel="1" x14ac:dyDescent="0.3">
      <c r="A72" s="98" t="s">
        <v>67</v>
      </c>
      <c r="B72" s="132">
        <f>VLOOKUP(A72,Iedz_sk!$B$5:$Y$123,15,FALSE)</f>
        <v>11739</v>
      </c>
      <c r="C72" s="132">
        <f>VLOOKUP(A72,Iedz_sk!$B$5:$Y$123,16,FALSE)</f>
        <v>11499</v>
      </c>
      <c r="D72" s="132">
        <f>VLOOKUP(A72,Iedz_sk!$B$5:$Y$123,17,FALSE)</f>
        <v>11259</v>
      </c>
      <c r="E72" s="133">
        <f>VLOOKUP($A72,IKP!$Q$6:$AC$124,11,FALSE)</f>
        <v>77194.504409809932</v>
      </c>
      <c r="F72" s="133">
        <f>VLOOKUP($A72,IKP!$Q$6:$AC$124,12,FALSE)</f>
        <v>81339.053979952805</v>
      </c>
      <c r="G72" s="133">
        <f>VLOOKUP($A72,IKP!$Q$6:$AC$124,13,FALSE)</f>
        <v>84655.823765643087</v>
      </c>
      <c r="H72" s="132">
        <f>((-0.0000000006)*IKP!$J$5 + 0.0461)*E72</f>
        <v>2119.3724935722094</v>
      </c>
      <c r="I72" s="132">
        <f>((-0.0000000006)*IKP!$K$5 + 0.0461)*F72</f>
        <v>2155.8159202881461</v>
      </c>
      <c r="J72" s="132">
        <f>((-0.0000000006)*IKP!$L$5 + 0.0461)*G72</f>
        <v>2180.6852493609549</v>
      </c>
      <c r="K72" s="132">
        <f t="shared" si="29"/>
        <v>508.64939845733022</v>
      </c>
      <c r="L72" s="132">
        <f t="shared" si="30"/>
        <v>517.39582086915505</v>
      </c>
      <c r="M72" s="132">
        <f t="shared" si="31"/>
        <v>523.36445984662919</v>
      </c>
      <c r="N72" s="137">
        <f>VLOOKUP(A72,NSAmaksa_2021!$A$4:$N$138,12,FALSE)</f>
        <v>90.7</v>
      </c>
      <c r="O72" s="137">
        <f>VLOOKUP(A72,NSAmaksa_2021!$A$4:$N$138,14,FALSE)</f>
        <v>42.326666666666668</v>
      </c>
      <c r="P72" s="132">
        <f t="shared" si="32"/>
        <v>115336.25110019963</v>
      </c>
      <c r="Q72" s="132">
        <f t="shared" si="33"/>
        <v>117319.50238208091</v>
      </c>
      <c r="R72" s="132">
        <f t="shared" si="34"/>
        <v>118672.89127022316</v>
      </c>
      <c r="S72" s="132">
        <f t="shared" si="35"/>
        <v>90731.184198823714</v>
      </c>
      <c r="T72" s="132">
        <f t="shared" si="36"/>
        <v>92291.341873903657</v>
      </c>
      <c r="U72" s="132">
        <f t="shared" si="37"/>
        <v>93356.00779924223</v>
      </c>
      <c r="V72" s="132">
        <f t="shared" ref="V72:V129" si="38">P72-S72</f>
        <v>24605.066901375918</v>
      </c>
      <c r="W72" s="132">
        <f t="shared" ref="W72:W129" si="39">Q72-T72</f>
        <v>25028.160508177258</v>
      </c>
      <c r="X72" s="132">
        <f t="shared" ref="X72:X129" si="40">R72-U72</f>
        <v>25316.883470980931</v>
      </c>
      <c r="Y72" s="132">
        <f t="shared" ref="Y72:Y129" si="41">SUM(V72:X72)</f>
        <v>74950.110880534106</v>
      </c>
      <c r="Z72" s="138">
        <f t="shared" ref="Z72:Z129" si="42">V72/B72+W72/C72+X72/D72</f>
        <v>6.521152287370704</v>
      </c>
    </row>
    <row r="73" spans="1:26" outlineLevel="1" x14ac:dyDescent="0.3">
      <c r="A73" s="98" t="s">
        <v>68</v>
      </c>
      <c r="B73" s="132">
        <f>VLOOKUP(A73,Iedz_sk!$B$5:$Y$123,15,FALSE)</f>
        <v>21676</v>
      </c>
      <c r="C73" s="132">
        <f>VLOOKUP(A73,Iedz_sk!$B$5:$Y$123,16,FALSE)</f>
        <v>21228</v>
      </c>
      <c r="D73" s="132">
        <f>VLOOKUP(A73,Iedz_sk!$B$5:$Y$123,17,FALSE)</f>
        <v>20780</v>
      </c>
      <c r="E73" s="133">
        <f>VLOOKUP($A73,IKP!$Q$6:$AC$124,11,FALSE)</f>
        <v>204692.70869235962</v>
      </c>
      <c r="F73" s="133">
        <f>VLOOKUP($A73,IKP!$Q$6:$AC$124,12,FALSE)</f>
        <v>215681.52311445642</v>
      </c>
      <c r="G73" s="133">
        <f>VLOOKUP($A73,IKP!$Q$6:$AC$124,13,FALSE)</f>
        <v>224472.55977443053</v>
      </c>
      <c r="H73" s="132">
        <f>((-0.0000000006)*IKP!$J$5 + 0.0461)*E73</f>
        <v>5619.8313565731751</v>
      </c>
      <c r="I73" s="132">
        <f>((-0.0000000006)*IKP!$K$5 + 0.0461)*F73</f>
        <v>5716.4380268885279</v>
      </c>
      <c r="J73" s="132">
        <f>((-0.0000000006)*IKP!$L$5 + 0.0461)*G73</f>
        <v>5782.2838194985152</v>
      </c>
      <c r="K73" s="132">
        <f t="shared" si="29"/>
        <v>1348.759525577562</v>
      </c>
      <c r="L73" s="132">
        <f t="shared" si="30"/>
        <v>1371.9451264532468</v>
      </c>
      <c r="M73" s="132">
        <f t="shared" si="31"/>
        <v>1387.7481166796435</v>
      </c>
      <c r="N73" s="137">
        <f>VLOOKUP(A73,NSAmaksa_2021!$A$4:$N$138,12,FALSE)</f>
        <v>107.52083388338833</v>
      </c>
      <c r="O73" s="137">
        <f>VLOOKUP(A73,NSAmaksa_2021!$A$4:$N$138,14,FALSE)</f>
        <v>50.176389145581219</v>
      </c>
      <c r="P73" s="132">
        <f t="shared" si="32"/>
        <v>362549.37224565673</v>
      </c>
      <c r="Q73" s="132">
        <f t="shared" si="33"/>
        <v>368781.71009625937</v>
      </c>
      <c r="R73" s="132">
        <f t="shared" si="34"/>
        <v>373029.58681374247</v>
      </c>
      <c r="S73" s="132">
        <f t="shared" si="35"/>
        <v>285205.50616658328</v>
      </c>
      <c r="T73" s="132">
        <f t="shared" si="36"/>
        <v>290108.27860905736</v>
      </c>
      <c r="U73" s="132">
        <f t="shared" si="37"/>
        <v>293449.9416268107</v>
      </c>
      <c r="V73" s="132">
        <f t="shared" si="38"/>
        <v>77343.866079073458</v>
      </c>
      <c r="W73" s="132">
        <f t="shared" si="39"/>
        <v>78673.431487202004</v>
      </c>
      <c r="X73" s="132">
        <f t="shared" si="40"/>
        <v>79579.645186931768</v>
      </c>
      <c r="Y73" s="132">
        <f t="shared" si="41"/>
        <v>235596.94275320723</v>
      </c>
      <c r="Z73" s="138">
        <f t="shared" si="42"/>
        <v>11.103922696444839</v>
      </c>
    </row>
    <row r="74" spans="1:26" outlineLevel="1" x14ac:dyDescent="0.3">
      <c r="A74" s="98" t="s">
        <v>69</v>
      </c>
      <c r="B74" s="132">
        <f>VLOOKUP(A74,Iedz_sk!$B$5:$Y$123,15,FALSE)</f>
        <v>2867</v>
      </c>
      <c r="C74" s="132">
        <f>VLOOKUP(A74,Iedz_sk!$B$5:$Y$123,16,FALSE)</f>
        <v>2790</v>
      </c>
      <c r="D74" s="132">
        <f>VLOOKUP(A74,Iedz_sk!$B$5:$Y$123,17,FALSE)</f>
        <v>2714</v>
      </c>
      <c r="E74" s="133">
        <f>VLOOKUP($A74,IKP!$Q$6:$AC$124,11,FALSE)</f>
        <v>27073.90643204443</v>
      </c>
      <c r="F74" s="133">
        <f>VLOOKUP($A74,IKP!$Q$6:$AC$124,12,FALSE)</f>
        <v>28347.062817473779</v>
      </c>
      <c r="G74" s="133">
        <f>VLOOKUP($A74,IKP!$Q$6:$AC$124,13,FALSE)</f>
        <v>29317.542215005025</v>
      </c>
      <c r="H74" s="132">
        <f>((-0.0000000006)*IKP!$J$5 + 0.0461)*E74</f>
        <v>743.3131804435917</v>
      </c>
      <c r="I74" s="132">
        <f>((-0.0000000006)*IKP!$K$5 + 0.0461)*F74</f>
        <v>751.31251625301456</v>
      </c>
      <c r="J74" s="132">
        <f>((-0.0000000006)*IKP!$L$5 + 0.0461)*G74</f>
        <v>755.20299740707264</v>
      </c>
      <c r="K74" s="132">
        <f t="shared" si="29"/>
        <v>178.39516330646202</v>
      </c>
      <c r="L74" s="132">
        <f t="shared" si="30"/>
        <v>180.3150039007235</v>
      </c>
      <c r="M74" s="132">
        <f t="shared" si="31"/>
        <v>181.24871937769746</v>
      </c>
      <c r="N74" s="137">
        <f>VLOOKUP(A74,NSAmaksa_2021!$A$4:$N$138,12,FALSE)</f>
        <v>123.84350000000001</v>
      </c>
      <c r="O74" s="137">
        <f>VLOOKUP(A74,NSAmaksa_2021!$A$4:$N$138,14,FALSE)</f>
        <v>57.793633333333325</v>
      </c>
      <c r="P74" s="132">
        <f t="shared" si="32"/>
        <v>55232.703517359565</v>
      </c>
      <c r="Q74" s="132">
        <f t="shared" si="33"/>
        <v>55827.102963948128</v>
      </c>
      <c r="R74" s="132">
        <f t="shared" si="34"/>
        <v>56116.18944562968</v>
      </c>
      <c r="S74" s="132">
        <f t="shared" si="35"/>
        <v>43449.726766989523</v>
      </c>
      <c r="T74" s="132">
        <f t="shared" si="36"/>
        <v>43917.320998305848</v>
      </c>
      <c r="U74" s="132">
        <f t="shared" si="37"/>
        <v>44144.735697228673</v>
      </c>
      <c r="V74" s="132">
        <f t="shared" si="38"/>
        <v>11782.976750370042</v>
      </c>
      <c r="W74" s="132">
        <f t="shared" si="39"/>
        <v>11909.78196564228</v>
      </c>
      <c r="X74" s="132">
        <f t="shared" si="40"/>
        <v>11971.453748401007</v>
      </c>
      <c r="Y74" s="132">
        <f t="shared" si="41"/>
        <v>35664.212464413329</v>
      </c>
      <c r="Z74" s="138">
        <f t="shared" si="42"/>
        <v>12.789601798927487</v>
      </c>
    </row>
    <row r="75" spans="1:26" outlineLevel="1" x14ac:dyDescent="0.3">
      <c r="A75" s="98" t="s">
        <v>70</v>
      </c>
      <c r="B75" s="132">
        <f>VLOOKUP(A75,Iedz_sk!$B$5:$Y$123,15,FALSE)</f>
        <v>3324</v>
      </c>
      <c r="C75" s="132">
        <f>VLOOKUP(A75,Iedz_sk!$B$5:$Y$123,16,FALSE)</f>
        <v>3296</v>
      </c>
      <c r="D75" s="132">
        <f>VLOOKUP(A75,Iedz_sk!$B$5:$Y$123,17,FALSE)</f>
        <v>3268</v>
      </c>
      <c r="E75" s="133">
        <f>VLOOKUP($A75,IKP!$Q$6:$AC$124,11,FALSE)</f>
        <v>43122.650332580626</v>
      </c>
      <c r="F75" s="133">
        <f>VLOOKUP($A75,IKP!$Q$6:$AC$124,12,FALSE)</f>
        <v>45079.182005363429</v>
      </c>
      <c r="G75" s="133">
        <f>VLOOKUP($A75,IKP!$Q$6:$AC$124,13,FALSE)</f>
        <v>46538.679994891507</v>
      </c>
      <c r="H75" s="132">
        <f>((-0.0000000006)*IKP!$J$5 + 0.0461)*E75</f>
        <v>1183.9308984952768</v>
      </c>
      <c r="I75" s="132">
        <f>((-0.0000000006)*IKP!$K$5 + 0.0461)*F75</f>
        <v>1194.7817620878823</v>
      </c>
      <c r="J75" s="132">
        <f>((-0.0000000006)*IKP!$L$5 + 0.0461)*G75</f>
        <v>1198.8095853929551</v>
      </c>
      <c r="K75" s="132">
        <f t="shared" si="29"/>
        <v>284.14341563886643</v>
      </c>
      <c r="L75" s="132">
        <f t="shared" si="30"/>
        <v>286.74762290109175</v>
      </c>
      <c r="M75" s="132">
        <f t="shared" si="31"/>
        <v>287.71430049430921</v>
      </c>
      <c r="N75" s="137">
        <f>VLOOKUP(A75,NSAmaksa_2021!$A$4:$N$138,12,FALSE)</f>
        <v>102.55</v>
      </c>
      <c r="O75" s="137">
        <f>VLOOKUP(A75,NSAmaksa_2021!$A$4:$N$138,14,FALSE)</f>
        <v>63.366666666666674</v>
      </c>
      <c r="P75" s="132">
        <f t="shared" si="32"/>
        <v>72847.268184414381</v>
      </c>
      <c r="Q75" s="132">
        <f t="shared" si="33"/>
        <v>73514.921821267388</v>
      </c>
      <c r="R75" s="132">
        <f t="shared" si="34"/>
        <v>73762.753789228533</v>
      </c>
      <c r="S75" s="132">
        <f t="shared" si="35"/>
        <v>61713.582014964799</v>
      </c>
      <c r="T75" s="132">
        <f t="shared" si="36"/>
        <v>62279.19413059295</v>
      </c>
      <c r="U75" s="132">
        <f t="shared" si="37"/>
        <v>62489.148448193169</v>
      </c>
      <c r="V75" s="132">
        <f t="shared" si="38"/>
        <v>11133.686169449582</v>
      </c>
      <c r="W75" s="132">
        <f t="shared" si="39"/>
        <v>11235.727690674437</v>
      </c>
      <c r="X75" s="132">
        <f t="shared" si="40"/>
        <v>11273.605341035363</v>
      </c>
      <c r="Y75" s="132">
        <f t="shared" si="41"/>
        <v>33643.019201159383</v>
      </c>
      <c r="Z75" s="138">
        <f t="shared" si="42"/>
        <v>10.208078008370343</v>
      </c>
    </row>
    <row r="76" spans="1:26" outlineLevel="1" x14ac:dyDescent="0.3">
      <c r="A76" s="98" t="s">
        <v>71</v>
      </c>
      <c r="B76" s="132">
        <f>VLOOKUP(A76,Iedz_sk!$B$5:$Y$123,15,FALSE)</f>
        <v>21577</v>
      </c>
      <c r="C76" s="132">
        <f>VLOOKUP(A76,Iedz_sk!$B$5:$Y$123,16,FALSE)</f>
        <v>22373</v>
      </c>
      <c r="D76" s="132">
        <f>VLOOKUP(A76,Iedz_sk!$B$5:$Y$123,17,FALSE)</f>
        <v>23169</v>
      </c>
      <c r="E76" s="133">
        <f>VLOOKUP($A76,IKP!$Q$6:$AC$124,11,FALSE)</f>
        <v>279921.00668654998</v>
      </c>
      <c r="F76" s="133">
        <f>VLOOKUP($A76,IKP!$Q$6:$AC$124,12,FALSE)</f>
        <v>305994.09557220753</v>
      </c>
      <c r="G76" s="133">
        <f>VLOOKUP($A76,IKP!$Q$6:$AC$124,13,FALSE)</f>
        <v>329943.29155496979</v>
      </c>
      <c r="H76" s="132">
        <f>((-0.0000000006)*IKP!$J$5 + 0.0461)*E76</f>
        <v>7685.2217198653989</v>
      </c>
      <c r="I76" s="132">
        <f>((-0.0000000006)*IKP!$K$5 + 0.0461)*F76</f>
        <v>8110.0887024248159</v>
      </c>
      <c r="J76" s="132">
        <f>((-0.0000000006)*IKP!$L$5 + 0.0461)*G76</f>
        <v>8499.1491077017672</v>
      </c>
      <c r="K76" s="132">
        <f t="shared" si="29"/>
        <v>1844.4532127676957</v>
      </c>
      <c r="L76" s="132">
        <f t="shared" si="30"/>
        <v>1946.4212885819559</v>
      </c>
      <c r="M76" s="132">
        <f t="shared" si="31"/>
        <v>2039.7957858484242</v>
      </c>
      <c r="N76" s="137">
        <f>VLOOKUP(A76,NSAmaksa_2021!$A$4:$N$138,12,FALSE)</f>
        <v>63.45</v>
      </c>
      <c r="O76" s="137">
        <f>VLOOKUP(A76,NSAmaksa_2021!$A$4:$N$138,14,FALSE)</f>
        <v>29.609999999999996</v>
      </c>
      <c r="P76" s="132">
        <f t="shared" si="32"/>
        <v>292576.39087527577</v>
      </c>
      <c r="Q76" s="132">
        <f t="shared" si="33"/>
        <v>308751.07690131274</v>
      </c>
      <c r="R76" s="132">
        <f t="shared" si="34"/>
        <v>323562.60653020628</v>
      </c>
      <c r="S76" s="132">
        <f t="shared" si="35"/>
        <v>230160.09415521691</v>
      </c>
      <c r="T76" s="132">
        <f t="shared" si="36"/>
        <v>242884.18049569937</v>
      </c>
      <c r="U76" s="132">
        <f t="shared" si="37"/>
        <v>254535.91713709562</v>
      </c>
      <c r="V76" s="132">
        <f t="shared" si="38"/>
        <v>62416.296720058861</v>
      </c>
      <c r="W76" s="132">
        <f t="shared" si="39"/>
        <v>65866.89640561337</v>
      </c>
      <c r="X76" s="132">
        <f t="shared" si="40"/>
        <v>69026.689393110661</v>
      </c>
      <c r="Y76" s="132">
        <f t="shared" si="41"/>
        <v>197309.88251878289</v>
      </c>
      <c r="Z76" s="138">
        <f t="shared" si="42"/>
        <v>8.8160278979987847</v>
      </c>
    </row>
    <row r="77" spans="1:26" outlineLevel="1" x14ac:dyDescent="0.3">
      <c r="A77" s="98" t="s">
        <v>72</v>
      </c>
      <c r="B77" s="132">
        <f>VLOOKUP(A77,Iedz_sk!$B$5:$Y$123,15,FALSE)</f>
        <v>1431</v>
      </c>
      <c r="C77" s="132">
        <f>VLOOKUP(A77,Iedz_sk!$B$5:$Y$123,16,FALSE)</f>
        <v>1408</v>
      </c>
      <c r="D77" s="132">
        <f>VLOOKUP(A77,Iedz_sk!$B$5:$Y$123,17,FALSE)</f>
        <v>1385</v>
      </c>
      <c r="E77" s="133">
        <f>VLOOKUP($A77,IKP!$Q$6:$AC$124,11,FALSE)</f>
        <v>13710.647733851087</v>
      </c>
      <c r="F77" s="133">
        <f>VLOOKUP($A77,IKP!$Q$6:$AC$124,12,FALSE)</f>
        <v>14435.733180332787</v>
      </c>
      <c r="G77" s="133">
        <f>VLOOKUP($A77,IKP!$Q$6:$AC$124,13,FALSE)</f>
        <v>15011.99204933293</v>
      </c>
      <c r="H77" s="132">
        <f>((-0.0000000006)*IKP!$J$5 + 0.0461)*E77</f>
        <v>376.42536730230546</v>
      </c>
      <c r="I77" s="132">
        <f>((-0.0000000006)*IKP!$K$5 + 0.0461)*F77</f>
        <v>382.60567204117496</v>
      </c>
      <c r="J77" s="132">
        <f>((-0.0000000006)*IKP!$L$5 + 0.0461)*G77</f>
        <v>386.70026667190831</v>
      </c>
      <c r="K77" s="132">
        <f t="shared" si="29"/>
        <v>90.342088152553302</v>
      </c>
      <c r="L77" s="132">
        <f t="shared" si="30"/>
        <v>91.825361289881997</v>
      </c>
      <c r="M77" s="132">
        <f t="shared" si="31"/>
        <v>92.808064001257989</v>
      </c>
      <c r="N77" s="137">
        <f>VLOOKUP(A77,NSAmaksa_2021!$A$4:$N$138,12,FALSE)</f>
        <v>86.05</v>
      </c>
      <c r="O77" s="137">
        <f>VLOOKUP(A77,NSAmaksa_2021!$A$4:$N$138,14,FALSE)</f>
        <v>63.533333333333331</v>
      </c>
      <c r="P77" s="132">
        <f t="shared" si="32"/>
        <v>19434.84171381803</v>
      </c>
      <c r="Q77" s="132">
        <f t="shared" si="33"/>
        <v>19753.930847485863</v>
      </c>
      <c r="R77" s="132">
        <f t="shared" si="34"/>
        <v>19965.334768270626</v>
      </c>
      <c r="S77" s="132">
        <f t="shared" si="35"/>
        <v>17400.639028916368</v>
      </c>
      <c r="T77" s="132">
        <f t="shared" si="36"/>
        <v>17686.329795775353</v>
      </c>
      <c r="U77" s="132">
        <f t="shared" si="37"/>
        <v>17875.606527175631</v>
      </c>
      <c r="V77" s="132">
        <f t="shared" si="38"/>
        <v>2034.202684901662</v>
      </c>
      <c r="W77" s="132">
        <f t="shared" si="39"/>
        <v>2067.6010517105096</v>
      </c>
      <c r="X77" s="132">
        <f t="shared" si="40"/>
        <v>2089.7282410949956</v>
      </c>
      <c r="Y77" s="132">
        <f t="shared" si="41"/>
        <v>6191.5319777071672</v>
      </c>
      <c r="Z77" s="138">
        <f t="shared" si="42"/>
        <v>4.398820997430839</v>
      </c>
    </row>
    <row r="78" spans="1:26" outlineLevel="1" x14ac:dyDescent="0.3">
      <c r="A78" s="98" t="s">
        <v>73</v>
      </c>
      <c r="B78" s="132">
        <f>VLOOKUP(A78,Iedz_sk!$B$5:$Y$123,15,FALSE)</f>
        <v>1689</v>
      </c>
      <c r="C78" s="132">
        <f>VLOOKUP(A78,Iedz_sk!$B$5:$Y$123,16,FALSE)</f>
        <v>1642</v>
      </c>
      <c r="D78" s="132">
        <f>VLOOKUP(A78,Iedz_sk!$B$5:$Y$123,17,FALSE)</f>
        <v>1596</v>
      </c>
      <c r="E78" s="133">
        <f>VLOOKUP($A78,IKP!$Q$6:$AC$124,11,FALSE)</f>
        <v>15949.713276499142</v>
      </c>
      <c r="F78" s="133">
        <f>VLOOKUP($A78,IKP!$Q$6:$AC$124,12,FALSE)</f>
        <v>16683.110088276684</v>
      </c>
      <c r="G78" s="133">
        <f>VLOOKUP($A78,IKP!$Q$6:$AC$124,13,FALSE)</f>
        <v>17240.529615014009</v>
      </c>
      <c r="H78" s="132">
        <f>((-0.0000000006)*IKP!$J$5 + 0.0461)*E78</f>
        <v>437.89883563628405</v>
      </c>
      <c r="I78" s="132">
        <f>((-0.0000000006)*IKP!$K$5 + 0.0461)*F78</f>
        <v>442.17030526431898</v>
      </c>
      <c r="J78" s="132">
        <f>((-0.0000000006)*IKP!$L$5 + 0.0461)*G78</f>
        <v>444.10611048698894</v>
      </c>
      <c r="K78" s="132">
        <f t="shared" si="29"/>
        <v>105.09572055270817</v>
      </c>
      <c r="L78" s="132">
        <f t="shared" si="30"/>
        <v>106.12087326343655</v>
      </c>
      <c r="M78" s="132">
        <f t="shared" si="31"/>
        <v>106.58546651687735</v>
      </c>
      <c r="N78" s="137">
        <f>VLOOKUP(A78,NSAmaksa_2021!$A$4:$N$138,12,FALSE)</f>
        <v>123.84350000000001</v>
      </c>
      <c r="O78" s="137">
        <f>VLOOKUP(A78,NSAmaksa_2021!$A$4:$N$138,14,FALSE)</f>
        <v>57.793633333333325</v>
      </c>
      <c r="P78" s="132">
        <f t="shared" si="32"/>
        <v>32538.554670673286</v>
      </c>
      <c r="Q78" s="132">
        <f t="shared" si="33"/>
        <v>32855.950920001014</v>
      </c>
      <c r="R78" s="132">
        <f t="shared" si="34"/>
        <v>32999.793056457253</v>
      </c>
      <c r="S78" s="132">
        <f t="shared" si="35"/>
        <v>25596.996340929651</v>
      </c>
      <c r="T78" s="132">
        <f t="shared" si="36"/>
        <v>25846.681390400798</v>
      </c>
      <c r="U78" s="132">
        <f t="shared" si="37"/>
        <v>25959.837204413037</v>
      </c>
      <c r="V78" s="132">
        <f t="shared" si="38"/>
        <v>6941.5583297436351</v>
      </c>
      <c r="W78" s="132">
        <f t="shared" si="39"/>
        <v>7009.2695296002166</v>
      </c>
      <c r="X78" s="132">
        <f t="shared" si="40"/>
        <v>7039.9558520442151</v>
      </c>
      <c r="Y78" s="132">
        <f t="shared" si="41"/>
        <v>20990.783711388067</v>
      </c>
      <c r="Z78" s="138">
        <f t="shared" si="42"/>
        <v>12.78960179892748</v>
      </c>
    </row>
    <row r="79" spans="1:26" outlineLevel="1" x14ac:dyDescent="0.3">
      <c r="A79" s="98" t="s">
        <v>74</v>
      </c>
      <c r="B79" s="132">
        <f>VLOOKUP(A79,Iedz_sk!$B$5:$Y$123,15,FALSE)</f>
        <v>3278</v>
      </c>
      <c r="C79" s="132">
        <f>VLOOKUP(A79,Iedz_sk!$B$5:$Y$123,16,FALSE)</f>
        <v>3221</v>
      </c>
      <c r="D79" s="132">
        <f>VLOOKUP(A79,Iedz_sk!$B$5:$Y$123,17,FALSE)</f>
        <v>3164</v>
      </c>
      <c r="E79" s="133">
        <f>VLOOKUP($A79,IKP!$Q$6:$AC$124,11,FALSE)</f>
        <v>27975.111902274795</v>
      </c>
      <c r="F79" s="133">
        <f>VLOOKUP($A79,IKP!$Q$6:$AC$124,12,FALSE)</f>
        <v>29368.303147252354</v>
      </c>
      <c r="G79" s="133">
        <f>VLOOKUP($A79,IKP!$Q$6:$AC$124,13,FALSE)</f>
        <v>30448.523060697793</v>
      </c>
      <c r="H79" s="132">
        <f>((-0.0000000006)*IKP!$J$5 + 0.0461)*E79</f>
        <v>768.05574598327439</v>
      </c>
      <c r="I79" s="132">
        <f>((-0.0000000006)*IKP!$K$5 + 0.0461)*F79</f>
        <v>778.37954068533202</v>
      </c>
      <c r="J79" s="132">
        <f>((-0.0000000006)*IKP!$L$5 + 0.0461)*G79</f>
        <v>784.33641242574424</v>
      </c>
      <c r="K79" s="132">
        <f t="shared" si="29"/>
        <v>184.33337903598584</v>
      </c>
      <c r="L79" s="132">
        <f t="shared" si="30"/>
        <v>186.8110897644797</v>
      </c>
      <c r="M79" s="132">
        <f t="shared" si="31"/>
        <v>188.24073898217861</v>
      </c>
      <c r="N79" s="137">
        <f>VLOOKUP(A79,NSAmaksa_2021!$A$4:$N$138,12,FALSE)</f>
        <v>104.95</v>
      </c>
      <c r="O79" s="137">
        <f>VLOOKUP(A79,NSAmaksa_2021!$A$4:$N$138,14,FALSE)</f>
        <v>48.976666666666667</v>
      </c>
      <c r="P79" s="132">
        <f t="shared" si="32"/>
        <v>48364.470324566792</v>
      </c>
      <c r="Q79" s="132">
        <f t="shared" si="33"/>
        <v>49014.559676955359</v>
      </c>
      <c r="R79" s="132">
        <f t="shared" si="34"/>
        <v>49389.663890449119</v>
      </c>
      <c r="S79" s="132">
        <f t="shared" si="35"/>
        <v>38046.716655325872</v>
      </c>
      <c r="T79" s="132">
        <f t="shared" si="36"/>
        <v>38558.120279204879</v>
      </c>
      <c r="U79" s="132">
        <f t="shared" si="37"/>
        <v>38853.202260486636</v>
      </c>
      <c r="V79" s="132">
        <f t="shared" si="38"/>
        <v>10317.753669240919</v>
      </c>
      <c r="W79" s="132">
        <f t="shared" si="39"/>
        <v>10456.439397750481</v>
      </c>
      <c r="X79" s="132">
        <f t="shared" si="40"/>
        <v>10536.461629962483</v>
      </c>
      <c r="Y79" s="132">
        <f t="shared" si="41"/>
        <v>31310.654696953883</v>
      </c>
      <c r="Z79" s="138">
        <f t="shared" si="42"/>
        <v>9.7240170839655899</v>
      </c>
    </row>
    <row r="80" spans="1:26" outlineLevel="1" x14ac:dyDescent="0.3">
      <c r="A80" s="98" t="s">
        <v>75</v>
      </c>
      <c r="B80" s="132">
        <f>VLOOKUP(A80,Iedz_sk!$B$5:$Y$123,15,FALSE)</f>
        <v>3113</v>
      </c>
      <c r="C80" s="132">
        <f>VLOOKUP(A80,Iedz_sk!$B$5:$Y$123,16,FALSE)</f>
        <v>3058</v>
      </c>
      <c r="D80" s="132">
        <f>VLOOKUP(A80,Iedz_sk!$B$5:$Y$123,17,FALSE)</f>
        <v>3003</v>
      </c>
      <c r="E80" s="133">
        <f>VLOOKUP($A80,IKP!$Q$6:$AC$124,11,FALSE)</f>
        <v>29826.167991249778</v>
      </c>
      <c r="F80" s="133">
        <f>VLOOKUP($A80,IKP!$Q$6:$AC$124,12,FALSE)</f>
        <v>31352.608001035271</v>
      </c>
      <c r="G80" s="133">
        <f>VLOOKUP($A80,IKP!$Q$6:$AC$124,13,FALSE)</f>
        <v>32549.467237651112</v>
      </c>
      <c r="H80" s="132">
        <f>((-0.0000000006)*IKP!$J$5 + 0.0461)*E80</f>
        <v>818.87642796092018</v>
      </c>
      <c r="I80" s="132">
        <f>((-0.0000000006)*IKP!$K$5 + 0.0461)*F80</f>
        <v>830.97169396442689</v>
      </c>
      <c r="J80" s="132">
        <f>((-0.0000000006)*IKP!$L$5 + 0.0461)*G80</f>
        <v>838.45552405468641</v>
      </c>
      <c r="K80" s="132">
        <f t="shared" si="29"/>
        <v>196.53034271062086</v>
      </c>
      <c r="L80" s="132">
        <f t="shared" si="30"/>
        <v>199.43320655146246</v>
      </c>
      <c r="M80" s="132">
        <f t="shared" si="31"/>
        <v>201.22932577312477</v>
      </c>
      <c r="N80" s="137">
        <f>VLOOKUP(A80,NSAmaksa_2021!$A$4:$N$138,12,FALSE)</f>
        <v>102.1</v>
      </c>
      <c r="O80" s="137">
        <f>VLOOKUP(A80,NSAmaksa_2021!$A$4:$N$138,14,FALSE)</f>
        <v>47.646666666666668</v>
      </c>
      <c r="P80" s="132">
        <f t="shared" si="32"/>
        <v>50164.369976885966</v>
      </c>
      <c r="Q80" s="132">
        <f t="shared" si="33"/>
        <v>50905.325972260784</v>
      </c>
      <c r="R80" s="132">
        <f t="shared" si="34"/>
        <v>51363.785403590082</v>
      </c>
      <c r="S80" s="132">
        <f t="shared" si="35"/>
        <v>39462.637715150297</v>
      </c>
      <c r="T80" s="132">
        <f t="shared" si="36"/>
        <v>40045.523098178484</v>
      </c>
      <c r="U80" s="132">
        <f t="shared" si="37"/>
        <v>40406.177850824199</v>
      </c>
      <c r="V80" s="132">
        <f t="shared" si="38"/>
        <v>10701.732261735669</v>
      </c>
      <c r="W80" s="132">
        <f t="shared" si="39"/>
        <v>10859.802874082299</v>
      </c>
      <c r="X80" s="132">
        <f t="shared" si="40"/>
        <v>10957.607552765883</v>
      </c>
      <c r="Y80" s="132">
        <f t="shared" si="41"/>
        <v>32519.142688583852</v>
      </c>
      <c r="Z80" s="138">
        <f t="shared" si="42"/>
        <v>10.637918551299791</v>
      </c>
    </row>
    <row r="81" spans="1:26" outlineLevel="1" x14ac:dyDescent="0.3">
      <c r="A81" s="98" t="s">
        <v>76</v>
      </c>
      <c r="B81" s="132">
        <f>VLOOKUP(A81,Iedz_sk!$B$5:$Y$123,15,FALSE)</f>
        <v>32790</v>
      </c>
      <c r="C81" s="132">
        <f>VLOOKUP(A81,Iedz_sk!$B$5:$Y$123,16,FALSE)</f>
        <v>32305</v>
      </c>
      <c r="D81" s="132">
        <f>VLOOKUP(A81,Iedz_sk!$B$5:$Y$123,17,FALSE)</f>
        <v>31820</v>
      </c>
      <c r="E81" s="133">
        <f>VLOOKUP($A81,IKP!$Q$6:$AC$124,11,FALSE)</f>
        <v>425388.59939991537</v>
      </c>
      <c r="F81" s="133">
        <f>VLOOKUP($A81,IKP!$Q$6:$AC$124,12,FALSE)</f>
        <v>441833.42678497138</v>
      </c>
      <c r="G81" s="133">
        <f>VLOOKUP($A81,IKP!$Q$6:$AC$124,13,FALSE)</f>
        <v>453139.77889762778</v>
      </c>
      <c r="H81" s="132">
        <f>((-0.0000000006)*IKP!$J$5 + 0.0461)*E81</f>
        <v>11679.029531185355</v>
      </c>
      <c r="I81" s="132">
        <f>((-0.0000000006)*IKP!$K$5 + 0.0461)*F81</f>
        <v>11710.38374522119</v>
      </c>
      <c r="J81" s="132">
        <f>((-0.0000000006)*IKP!$L$5 + 0.0461)*G81</f>
        <v>11672.619647247195</v>
      </c>
      <c r="K81" s="132">
        <f t="shared" si="29"/>
        <v>2802.9670874844855</v>
      </c>
      <c r="L81" s="132">
        <f t="shared" si="30"/>
        <v>2810.4920988530857</v>
      </c>
      <c r="M81" s="132">
        <f t="shared" si="31"/>
        <v>2801.4287153393266</v>
      </c>
      <c r="N81" s="137">
        <f>VLOOKUP(A81,NSAmaksa_2021!$A$4:$N$138,12,FALSE)</f>
        <v>58.1</v>
      </c>
      <c r="O81" s="137">
        <f>VLOOKUP(A81,NSAmaksa_2021!$A$4:$N$138,14,FALSE)</f>
        <v>27.113333333333333</v>
      </c>
      <c r="P81" s="132">
        <f t="shared" si="32"/>
        <v>407130.96945712145</v>
      </c>
      <c r="Q81" s="132">
        <f t="shared" si="33"/>
        <v>408223.97735841066</v>
      </c>
      <c r="R81" s="132">
        <f t="shared" si="34"/>
        <v>406907.52090303722</v>
      </c>
      <c r="S81" s="132">
        <f t="shared" si="35"/>
        <v>320276.36263960227</v>
      </c>
      <c r="T81" s="132">
        <f t="shared" si="36"/>
        <v>321136.19552194973</v>
      </c>
      <c r="U81" s="132">
        <f t="shared" si="37"/>
        <v>320100.58311038924</v>
      </c>
      <c r="V81" s="132">
        <f t="shared" si="38"/>
        <v>86854.606817519176</v>
      </c>
      <c r="W81" s="132">
        <f t="shared" si="39"/>
        <v>87087.781836460927</v>
      </c>
      <c r="X81" s="132">
        <f t="shared" si="40"/>
        <v>86806.937792647979</v>
      </c>
      <c r="Y81" s="132">
        <f t="shared" si="41"/>
        <v>260749.32644662808</v>
      </c>
      <c r="Z81" s="138">
        <f t="shared" si="42"/>
        <v>8.0726748758664986</v>
      </c>
    </row>
    <row r="82" spans="1:26" outlineLevel="1" x14ac:dyDescent="0.3">
      <c r="A82" s="98" t="s">
        <v>77</v>
      </c>
      <c r="B82" s="132">
        <f>VLOOKUP(A82,Iedz_sk!$B$5:$Y$123,15,FALSE)</f>
        <v>19705</v>
      </c>
      <c r="C82" s="132">
        <f>VLOOKUP(A82,Iedz_sk!$B$5:$Y$123,16,FALSE)</f>
        <v>19494</v>
      </c>
      <c r="D82" s="132">
        <f>VLOOKUP(A82,Iedz_sk!$B$5:$Y$123,17,FALSE)</f>
        <v>19283</v>
      </c>
      <c r="E82" s="133">
        <f>VLOOKUP($A82,IKP!$Q$6:$AC$124,11,FALSE)</f>
        <v>255635.32635484391</v>
      </c>
      <c r="F82" s="133">
        <f>VLOOKUP($A82,IKP!$Q$6:$AC$124,12,FALSE)</f>
        <v>266618.1959989547</v>
      </c>
      <c r="G82" s="133">
        <f>VLOOKUP($A82,IKP!$Q$6:$AC$124,13,FALSE)</f>
        <v>274603.84526973468</v>
      </c>
      <c r="H82" s="132">
        <f>((-0.0000000006)*IKP!$J$5 + 0.0461)*E82</f>
        <v>7018.4591921929677</v>
      </c>
      <c r="I82" s="132">
        <f>((-0.0000000006)*IKP!$K$5 + 0.0461)*F82</f>
        <v>7066.4671329311832</v>
      </c>
      <c r="J82" s="132">
        <f>((-0.0000000006)*IKP!$L$5 + 0.0461)*G82</f>
        <v>7073.6368528556777</v>
      </c>
      <c r="K82" s="132">
        <f t="shared" si="29"/>
        <v>1684.4302061263122</v>
      </c>
      <c r="L82" s="132">
        <f t="shared" si="30"/>
        <v>1695.9521119034841</v>
      </c>
      <c r="M82" s="132">
        <f t="shared" si="31"/>
        <v>1697.6728446853629</v>
      </c>
      <c r="N82" s="137">
        <f>VLOOKUP(A82,NSAmaksa_2021!$A$4:$N$138,12,FALSE)</f>
        <v>89.842500000000001</v>
      </c>
      <c r="O82" s="137">
        <f>VLOOKUP(A82,NSAmaksa_2021!$A$4:$N$138,14,FALSE)</f>
        <v>41.926499999999997</v>
      </c>
      <c r="P82" s="132">
        <f t="shared" si="32"/>
        <v>378333.551984758</v>
      </c>
      <c r="Q82" s="132">
        <f t="shared" si="33"/>
        <v>380921.44403422187</v>
      </c>
      <c r="R82" s="132">
        <f t="shared" si="34"/>
        <v>381307.93137161178</v>
      </c>
      <c r="S82" s="132">
        <f t="shared" si="35"/>
        <v>297622.39422800962</v>
      </c>
      <c r="T82" s="132">
        <f t="shared" si="36"/>
        <v>299658.20264025452</v>
      </c>
      <c r="U82" s="132">
        <f t="shared" si="37"/>
        <v>299962.23934566794</v>
      </c>
      <c r="V82" s="132">
        <f t="shared" si="38"/>
        <v>80711.157756748376</v>
      </c>
      <c r="W82" s="132">
        <f t="shared" si="39"/>
        <v>81263.241393967357</v>
      </c>
      <c r="X82" s="132">
        <f t="shared" si="40"/>
        <v>81345.692025943834</v>
      </c>
      <c r="Y82" s="132">
        <f t="shared" si="41"/>
        <v>243320.09117665957</v>
      </c>
      <c r="Z82" s="138">
        <f t="shared" si="42"/>
        <v>12.48312035344296</v>
      </c>
    </row>
    <row r="83" spans="1:26" outlineLevel="1" x14ac:dyDescent="0.3">
      <c r="A83" s="98" t="s">
        <v>78</v>
      </c>
      <c r="B83" s="132">
        <f>VLOOKUP(A83,Iedz_sk!$B$5:$Y$123,15,FALSE)</f>
        <v>9948</v>
      </c>
      <c r="C83" s="132">
        <f>VLOOKUP(A83,Iedz_sk!$B$5:$Y$123,16,FALSE)</f>
        <v>9970</v>
      </c>
      <c r="D83" s="132">
        <f>VLOOKUP(A83,Iedz_sk!$B$5:$Y$123,17,FALSE)</f>
        <v>9993</v>
      </c>
      <c r="E83" s="133">
        <f>VLOOKUP($A83,IKP!$Q$6:$AC$124,11,FALSE)</f>
        <v>84898.2346564459</v>
      </c>
      <c r="F83" s="133">
        <f>VLOOKUP($A83,IKP!$Q$6:$AC$124,12,FALSE)</f>
        <v>90904.061588980432</v>
      </c>
      <c r="G83" s="133">
        <f>VLOOKUP($A83,IKP!$Q$6:$AC$124,13,FALSE)</f>
        <v>96166.906114270867</v>
      </c>
      <c r="H83" s="132">
        <f>((-0.0000000006)*IKP!$J$5 + 0.0461)*E83</f>
        <v>2330.8781455282528</v>
      </c>
      <c r="I83" s="132">
        <f>((-0.0000000006)*IKP!$K$5 + 0.0461)*F83</f>
        <v>2409.3275444373671</v>
      </c>
      <c r="J83" s="132">
        <f>((-0.0000000006)*IKP!$L$5 + 0.0461)*G83</f>
        <v>2477.2040990424971</v>
      </c>
      <c r="K83" s="132">
        <f t="shared" si="29"/>
        <v>559.41075492678067</v>
      </c>
      <c r="L83" s="132">
        <f t="shared" si="30"/>
        <v>578.23861066496806</v>
      </c>
      <c r="M83" s="132">
        <f t="shared" si="31"/>
        <v>594.52898377019926</v>
      </c>
      <c r="N83" s="137">
        <f>VLOOKUP(A83,NSAmaksa_2021!$A$4:$N$138,12,FALSE)</f>
        <v>100.5</v>
      </c>
      <c r="O83" s="137">
        <f>VLOOKUP(A83,NSAmaksa_2021!$A$4:$N$138,14,FALSE)</f>
        <v>46.900000000000006</v>
      </c>
      <c r="P83" s="132">
        <f t="shared" si="32"/>
        <v>140551.95217535362</v>
      </c>
      <c r="Q83" s="132">
        <f t="shared" si="33"/>
        <v>145282.45092957324</v>
      </c>
      <c r="R83" s="132">
        <f t="shared" si="34"/>
        <v>149375.40717226258</v>
      </c>
      <c r="S83" s="132">
        <f t="shared" si="35"/>
        <v>110567.53571127819</v>
      </c>
      <c r="T83" s="132">
        <f t="shared" si="36"/>
        <v>114288.86139793094</v>
      </c>
      <c r="U83" s="132">
        <f t="shared" si="37"/>
        <v>117508.65364217988</v>
      </c>
      <c r="V83" s="132">
        <f t="shared" si="38"/>
        <v>29984.416464075432</v>
      </c>
      <c r="W83" s="132">
        <f t="shared" si="39"/>
        <v>30993.589531642298</v>
      </c>
      <c r="X83" s="132">
        <f t="shared" si="40"/>
        <v>31866.7535300827</v>
      </c>
      <c r="Y83" s="132">
        <f t="shared" si="41"/>
        <v>92844.759525800429</v>
      </c>
      <c r="Z83" s="138">
        <f t="shared" si="42"/>
        <v>9.3117076411485602</v>
      </c>
    </row>
    <row r="84" spans="1:26" outlineLevel="1" x14ac:dyDescent="0.3">
      <c r="A84" s="98" t="s">
        <v>79</v>
      </c>
      <c r="B84" s="132">
        <f>VLOOKUP(A84,Iedz_sk!$B$5:$Y$123,15,FALSE)</f>
        <v>3603</v>
      </c>
      <c r="C84" s="132">
        <f>VLOOKUP(A84,Iedz_sk!$B$5:$Y$123,16,FALSE)</f>
        <v>3540</v>
      </c>
      <c r="D84" s="132">
        <f>VLOOKUP(A84,Iedz_sk!$B$5:$Y$123,17,FALSE)</f>
        <v>3477</v>
      </c>
      <c r="E84" s="133">
        <f>VLOOKUP($A84,IKP!$Q$6:$AC$124,11,FALSE)</f>
        <v>34024.166332283254</v>
      </c>
      <c r="F84" s="133">
        <f>VLOOKUP($A84,IKP!$Q$6:$AC$124,12,FALSE)</f>
        <v>35967.240994214044</v>
      </c>
      <c r="G84" s="133">
        <f>VLOOKUP($A84,IKP!$Q$6:$AC$124,13,FALSE)</f>
        <v>37559.72523270909</v>
      </c>
      <c r="H84" s="132">
        <f>((-0.0000000006)*IKP!$J$5 + 0.0461)*E84</f>
        <v>934.13232966106068</v>
      </c>
      <c r="I84" s="132">
        <f>((-0.0000000006)*IKP!$K$5 + 0.0461)*F84</f>
        <v>953.27824642855614</v>
      </c>
      <c r="J84" s="132">
        <f>((-0.0000000006)*IKP!$L$5 + 0.0461)*G84</f>
        <v>967.51688356094019</v>
      </c>
      <c r="K84" s="132">
        <f t="shared" si="29"/>
        <v>224.19175911865457</v>
      </c>
      <c r="L84" s="132">
        <f t="shared" si="30"/>
        <v>228.78677914285348</v>
      </c>
      <c r="M84" s="132">
        <f t="shared" si="31"/>
        <v>232.20405205462563</v>
      </c>
      <c r="N84" s="137">
        <f>VLOOKUP(A84,NSAmaksa_2021!$A$4:$N$138,12,FALSE)</f>
        <v>119.12449999999998</v>
      </c>
      <c r="O84" s="137">
        <f>VLOOKUP(A84,NSAmaksa_2021!$A$4:$N$138,14,FALSE)</f>
        <v>55.591433333333335</v>
      </c>
      <c r="P84" s="132">
        <f t="shared" si="32"/>
        <v>66766.828022825401</v>
      </c>
      <c r="Q84" s="132">
        <f t="shared" si="33"/>
        <v>68135.276680007111</v>
      </c>
      <c r="R84" s="132">
        <f t="shared" si="34"/>
        <v>69152.978997453116</v>
      </c>
      <c r="S84" s="132">
        <f t="shared" si="35"/>
        <v>52523.238044622645</v>
      </c>
      <c r="T84" s="132">
        <f t="shared" si="36"/>
        <v>53599.750988272259</v>
      </c>
      <c r="U84" s="132">
        <f t="shared" si="37"/>
        <v>54400.343477996452</v>
      </c>
      <c r="V84" s="132">
        <f t="shared" si="38"/>
        <v>14243.589978202755</v>
      </c>
      <c r="W84" s="132">
        <f t="shared" si="39"/>
        <v>14535.525691734852</v>
      </c>
      <c r="X84" s="132">
        <f t="shared" si="40"/>
        <v>14752.635519456664</v>
      </c>
      <c r="Y84" s="132">
        <f t="shared" si="41"/>
        <v>43531.751189394272</v>
      </c>
      <c r="Z84" s="138">
        <f t="shared" si="42"/>
        <v>12.302259864234587</v>
      </c>
    </row>
    <row r="85" spans="1:26" outlineLevel="1" x14ac:dyDescent="0.3">
      <c r="A85" s="98" t="s">
        <v>80</v>
      </c>
      <c r="B85" s="132">
        <f>VLOOKUP(A85,Iedz_sk!$B$5:$Y$123,15,FALSE)</f>
        <v>2543</v>
      </c>
      <c r="C85" s="132">
        <f>VLOOKUP(A85,Iedz_sk!$B$5:$Y$123,16,FALSE)</f>
        <v>2498</v>
      </c>
      <c r="D85" s="132">
        <f>VLOOKUP(A85,Iedz_sk!$B$5:$Y$123,17,FALSE)</f>
        <v>2453</v>
      </c>
      <c r="E85" s="133">
        <f>VLOOKUP($A85,IKP!$Q$6:$AC$124,11,FALSE)</f>
        <v>24364.903694747249</v>
      </c>
      <c r="F85" s="133">
        <f>VLOOKUP($A85,IKP!$Q$6:$AC$124,12,FALSE)</f>
        <v>25611.123213402912</v>
      </c>
      <c r="G85" s="133">
        <f>VLOOKUP($A85,IKP!$Q$6:$AC$124,13,FALSE)</f>
        <v>26588.026351634424</v>
      </c>
      <c r="H85" s="132">
        <f>((-0.0000000006)*IKP!$J$5 + 0.0461)*E85</f>
        <v>668.93760241073562</v>
      </c>
      <c r="I85" s="132">
        <f>((-0.0000000006)*IKP!$K$5 + 0.0461)*F85</f>
        <v>678.79898349350503</v>
      </c>
      <c r="J85" s="132">
        <f>((-0.0000000006)*IKP!$L$5 + 0.0461)*G85</f>
        <v>684.89224126078773</v>
      </c>
      <c r="K85" s="132">
        <f t="shared" si="29"/>
        <v>160.54502457857654</v>
      </c>
      <c r="L85" s="132">
        <f t="shared" si="30"/>
        <v>162.91175603844121</v>
      </c>
      <c r="M85" s="132">
        <f t="shared" si="31"/>
        <v>164.37413790258907</v>
      </c>
      <c r="N85" s="137">
        <f>VLOOKUP(A85,NSAmaksa_2021!$A$4:$N$138,12,FALSE)</f>
        <v>92.95</v>
      </c>
      <c r="O85" s="137">
        <f>VLOOKUP(A85,NSAmaksa_2021!$A$4:$N$138,14,FALSE)</f>
        <v>43.376666666666665</v>
      </c>
      <c r="P85" s="132">
        <f t="shared" si="32"/>
        <v>37306.650086446723</v>
      </c>
      <c r="Q85" s="132">
        <f t="shared" si="33"/>
        <v>37856.619309432775</v>
      </c>
      <c r="R85" s="132">
        <f t="shared" si="34"/>
        <v>38196.440295114131</v>
      </c>
      <c r="S85" s="132">
        <f t="shared" si="35"/>
        <v>29347.898068004761</v>
      </c>
      <c r="T85" s="132">
        <f t="shared" si="36"/>
        <v>29780.540523420448</v>
      </c>
      <c r="U85" s="132">
        <f t="shared" si="37"/>
        <v>30047.866365489783</v>
      </c>
      <c r="V85" s="132">
        <f t="shared" si="38"/>
        <v>7958.7520184419627</v>
      </c>
      <c r="W85" s="132">
        <f t="shared" si="39"/>
        <v>8076.0787860123273</v>
      </c>
      <c r="X85" s="132">
        <f t="shared" si="40"/>
        <v>8148.5739296243482</v>
      </c>
      <c r="Y85" s="132">
        <f t="shared" si="41"/>
        <v>24183.404734078638</v>
      </c>
      <c r="Z85" s="138">
        <f t="shared" si="42"/>
        <v>9.6845693373488331</v>
      </c>
    </row>
    <row r="86" spans="1:26" outlineLevel="1" x14ac:dyDescent="0.3">
      <c r="A86" s="98" t="s">
        <v>81</v>
      </c>
      <c r="B86" s="132">
        <f>VLOOKUP(A86,Iedz_sk!$B$5:$Y$123,15,FALSE)</f>
        <v>4765</v>
      </c>
      <c r="C86" s="132">
        <f>VLOOKUP(A86,Iedz_sk!$B$5:$Y$123,16,FALSE)</f>
        <v>4677</v>
      </c>
      <c r="D86" s="132">
        <f>VLOOKUP(A86,Iedz_sk!$B$5:$Y$123,17,FALSE)</f>
        <v>4589</v>
      </c>
      <c r="E86" s="133">
        <f>VLOOKUP($A86,IKP!$Q$6:$AC$124,11,FALSE)</f>
        <v>40665.469253916839</v>
      </c>
      <c r="F86" s="133">
        <f>VLOOKUP($A86,IKP!$Q$6:$AC$124,12,FALSE)</f>
        <v>42643.760887829638</v>
      </c>
      <c r="G86" s="133">
        <f>VLOOKUP($A86,IKP!$Q$6:$AC$124,13,FALSE)</f>
        <v>44161.906550424203</v>
      </c>
      <c r="H86" s="132">
        <f>((-0.0000000006)*IKP!$J$5 + 0.0461)*E86</f>
        <v>1116.469075537005</v>
      </c>
      <c r="I86" s="132">
        <f>((-0.0000000006)*IKP!$K$5 + 0.0461)*F86</f>
        <v>1130.2331921096857</v>
      </c>
      <c r="J86" s="132">
        <f>((-0.0000000006)*IKP!$L$5 + 0.0461)*G86</f>
        <v>1137.5852707401202</v>
      </c>
      <c r="K86" s="132">
        <f t="shared" si="29"/>
        <v>267.95257812888121</v>
      </c>
      <c r="L86" s="132">
        <f t="shared" si="30"/>
        <v>271.25596610632454</v>
      </c>
      <c r="M86" s="132">
        <f t="shared" si="31"/>
        <v>273.02046497762882</v>
      </c>
      <c r="N86" s="137">
        <f>VLOOKUP(A86,NSAmaksa_2021!$A$4:$N$138,12,FALSE)</f>
        <v>105.55</v>
      </c>
      <c r="O86" s="137">
        <f>VLOOKUP(A86,NSAmaksa_2021!$A$4:$N$138,14,FALSE)</f>
        <v>49.256666666666668</v>
      </c>
      <c r="P86" s="132">
        <f t="shared" si="32"/>
        <v>70705.986553758514</v>
      </c>
      <c r="Q86" s="132">
        <f t="shared" si="33"/>
        <v>71577.668056306386</v>
      </c>
      <c r="R86" s="132">
        <f t="shared" si="34"/>
        <v>72043.275195971815</v>
      </c>
      <c r="S86" s="132">
        <f t="shared" si="35"/>
        <v>55622.04275562337</v>
      </c>
      <c r="T86" s="132">
        <f t="shared" si="36"/>
        <v>56307.765537627689</v>
      </c>
      <c r="U86" s="132">
        <f t="shared" si="37"/>
        <v>56674.043154164494</v>
      </c>
      <c r="V86" s="132">
        <f t="shared" si="38"/>
        <v>15083.943798135144</v>
      </c>
      <c r="W86" s="132">
        <f t="shared" si="39"/>
        <v>15269.902518678697</v>
      </c>
      <c r="X86" s="132">
        <f t="shared" si="40"/>
        <v>15369.232041807321</v>
      </c>
      <c r="Y86" s="132">
        <f t="shared" si="41"/>
        <v>45723.078358621162</v>
      </c>
      <c r="Z86" s="138">
        <f t="shared" si="42"/>
        <v>9.77960936839035</v>
      </c>
    </row>
    <row r="87" spans="1:26" outlineLevel="1" x14ac:dyDescent="0.3">
      <c r="A87" s="98" t="s">
        <v>82</v>
      </c>
      <c r="B87" s="132">
        <f>VLOOKUP(A87,Iedz_sk!$B$5:$Y$123,15,FALSE)</f>
        <v>8948</v>
      </c>
      <c r="C87" s="132">
        <f>VLOOKUP(A87,Iedz_sk!$B$5:$Y$123,16,FALSE)</f>
        <v>8762</v>
      </c>
      <c r="D87" s="132">
        <f>VLOOKUP(A87,Iedz_sk!$B$5:$Y$123,17,FALSE)</f>
        <v>8577</v>
      </c>
      <c r="E87" s="133">
        <f>VLOOKUP($A87,IKP!$Q$6:$AC$124,11,FALSE)</f>
        <v>58841.164107588316</v>
      </c>
      <c r="F87" s="133">
        <f>VLOOKUP($A87,IKP!$Q$6:$AC$124,12,FALSE)</f>
        <v>61978.675621562441</v>
      </c>
      <c r="G87" s="133">
        <f>VLOOKUP($A87,IKP!$Q$6:$AC$124,13,FALSE)</f>
        <v>64490.008032500285</v>
      </c>
      <c r="H87" s="132">
        <f>((-0.0000000006)*IKP!$J$5 + 0.0461)*E87</f>
        <v>1615.4821596800521</v>
      </c>
      <c r="I87" s="132">
        <f>((-0.0000000006)*IKP!$K$5 + 0.0461)*F87</f>
        <v>1642.6871113631391</v>
      </c>
      <c r="J87" s="132">
        <f>((-0.0000000006)*IKP!$L$5 + 0.0461)*G87</f>
        <v>1661.2254537497922</v>
      </c>
      <c r="K87" s="132">
        <f t="shared" si="29"/>
        <v>387.71571832321251</v>
      </c>
      <c r="L87" s="132">
        <f t="shared" si="30"/>
        <v>394.24490672715342</v>
      </c>
      <c r="M87" s="132">
        <f t="shared" si="31"/>
        <v>398.69410889995015</v>
      </c>
      <c r="N87" s="137">
        <f>VLOOKUP(A87,NSAmaksa_2021!$A$4:$N$138,12,FALSE)</f>
        <v>95.45</v>
      </c>
      <c r="O87" s="137">
        <f>VLOOKUP(A87,NSAmaksa_2021!$A$4:$N$138,14,FALSE)</f>
        <v>44.543333333333329</v>
      </c>
      <c r="P87" s="132">
        <f t="shared" si="32"/>
        <v>92518.663284876573</v>
      </c>
      <c r="Q87" s="132">
        <f t="shared" si="33"/>
        <v>94076.690867766971</v>
      </c>
      <c r="R87" s="132">
        <f t="shared" si="34"/>
        <v>95138.381736250594</v>
      </c>
      <c r="S87" s="132">
        <f t="shared" si="35"/>
        <v>72781.348450769568</v>
      </c>
      <c r="T87" s="132">
        <f t="shared" si="36"/>
        <v>74006.996815976687</v>
      </c>
      <c r="U87" s="132">
        <f t="shared" si="37"/>
        <v>74842.193632517126</v>
      </c>
      <c r="V87" s="132">
        <f t="shared" si="38"/>
        <v>19737.314834107005</v>
      </c>
      <c r="W87" s="132">
        <f t="shared" si="39"/>
        <v>20069.694051790284</v>
      </c>
      <c r="X87" s="132">
        <f t="shared" si="40"/>
        <v>20296.188103733468</v>
      </c>
      <c r="Y87" s="132">
        <f t="shared" si="41"/>
        <v>60103.196989630756</v>
      </c>
      <c r="Z87" s="138">
        <f t="shared" si="42"/>
        <v>6.8626679804799782</v>
      </c>
    </row>
    <row r="88" spans="1:26" outlineLevel="1" x14ac:dyDescent="0.3">
      <c r="A88" s="98" t="s">
        <v>83</v>
      </c>
      <c r="B88" s="132">
        <f>VLOOKUP(A88,Iedz_sk!$B$5:$Y$123,15,FALSE)</f>
        <v>4955</v>
      </c>
      <c r="C88" s="132">
        <f>VLOOKUP(A88,Iedz_sk!$B$5:$Y$123,16,FALSE)</f>
        <v>4868</v>
      </c>
      <c r="D88" s="132">
        <f>VLOOKUP(A88,Iedz_sk!$B$5:$Y$123,17,FALSE)</f>
        <v>4781</v>
      </c>
      <c r="E88" s="133">
        <f>VLOOKUP($A88,IKP!$Q$6:$AC$124,11,FALSE)</f>
        <v>47474.674717842165</v>
      </c>
      <c r="F88" s="133">
        <f>VLOOKUP($A88,IKP!$Q$6:$AC$124,12,FALSE)</f>
        <v>49909.907046775574</v>
      </c>
      <c r="G88" s="133">
        <f>VLOOKUP($A88,IKP!$Q$6:$AC$124,13,FALSE)</f>
        <v>51821.17977462869</v>
      </c>
      <c r="H88" s="132">
        <f>((-0.0000000006)*IKP!$J$5 + 0.0461)*E88</f>
        <v>1303.415580002043</v>
      </c>
      <c r="I88" s="132">
        <f>((-0.0000000006)*IKP!$K$5 + 0.0461)*F88</f>
        <v>1322.815633165085</v>
      </c>
      <c r="J88" s="132">
        <f>((-0.0000000006)*IKP!$L$5 + 0.0461)*G88</f>
        <v>1334.883736432053</v>
      </c>
      <c r="K88" s="132">
        <f t="shared" si="29"/>
        <v>312.81973920049035</v>
      </c>
      <c r="L88" s="132">
        <f t="shared" si="30"/>
        <v>317.47575195962042</v>
      </c>
      <c r="M88" s="132">
        <f t="shared" si="31"/>
        <v>320.37209674369274</v>
      </c>
      <c r="N88" s="137">
        <f>VLOOKUP(A88,NSAmaksa_2021!$A$4:$N$138,12,FALSE)</f>
        <v>85.25</v>
      </c>
      <c r="O88" s="137">
        <f>VLOOKUP(A88,NSAmaksa_2021!$A$4:$N$138,14,FALSE)</f>
        <v>39.783333333333331</v>
      </c>
      <c r="P88" s="132">
        <f t="shared" si="32"/>
        <v>66669.7069171045</v>
      </c>
      <c r="Q88" s="132">
        <f t="shared" si="33"/>
        <v>67662.019636394092</v>
      </c>
      <c r="R88" s="132">
        <f t="shared" si="34"/>
        <v>68279.303118499505</v>
      </c>
      <c r="S88" s="132">
        <f t="shared" si="35"/>
        <v>52446.83610812221</v>
      </c>
      <c r="T88" s="132">
        <f t="shared" si="36"/>
        <v>53227.455447296685</v>
      </c>
      <c r="U88" s="132">
        <f t="shared" si="37"/>
        <v>53713.05178655294</v>
      </c>
      <c r="V88" s="132">
        <f t="shared" si="38"/>
        <v>14222.87080898229</v>
      </c>
      <c r="W88" s="132">
        <f t="shared" si="39"/>
        <v>14434.564189097408</v>
      </c>
      <c r="X88" s="132">
        <f t="shared" si="40"/>
        <v>14566.251331946565</v>
      </c>
      <c r="Y88" s="132">
        <f t="shared" si="41"/>
        <v>43223.686330026263</v>
      </c>
      <c r="Z88" s="138">
        <f t="shared" si="42"/>
        <v>8.8822973212370968</v>
      </c>
    </row>
    <row r="89" spans="1:26" outlineLevel="1" x14ac:dyDescent="0.3">
      <c r="A89" s="98" t="s">
        <v>84</v>
      </c>
      <c r="B89" s="132">
        <f>VLOOKUP(A89,Iedz_sk!$B$5:$Y$123,15,FALSE)</f>
        <v>7509</v>
      </c>
      <c r="C89" s="132">
        <f>VLOOKUP(A89,Iedz_sk!$B$5:$Y$123,16,FALSE)</f>
        <v>7377</v>
      </c>
      <c r="D89" s="132">
        <f>VLOOKUP(A89,Iedz_sk!$B$5:$Y$123,17,FALSE)</f>
        <v>7245</v>
      </c>
      <c r="E89" s="133">
        <f>VLOOKUP($A89,IKP!$Q$6:$AC$124,11,FALSE)</f>
        <v>70909.648900670261</v>
      </c>
      <c r="F89" s="133">
        <f>VLOOKUP($A89,IKP!$Q$6:$AC$124,12,FALSE)</f>
        <v>74952.072546417228</v>
      </c>
      <c r="G89" s="133">
        <f>VLOOKUP($A89,IKP!$Q$6:$AC$124,13,FALSE)</f>
        <v>78262.930489208331</v>
      </c>
      <c r="H89" s="132">
        <f>((-0.0000000006)*IKP!$J$5 + 0.0461)*E89</f>
        <v>1946.8219992852914</v>
      </c>
      <c r="I89" s="132">
        <f>((-0.0000000006)*IKP!$K$5 + 0.0461)*F89</f>
        <v>1986.5349220066266</v>
      </c>
      <c r="J89" s="132">
        <f>((-0.0000000006)*IKP!$L$5 + 0.0461)*G89</f>
        <v>2016.0080015527788</v>
      </c>
      <c r="K89" s="132">
        <f t="shared" si="29"/>
        <v>467.23727982846992</v>
      </c>
      <c r="L89" s="132">
        <f t="shared" si="30"/>
        <v>476.76838128159039</v>
      </c>
      <c r="M89" s="132">
        <f t="shared" si="31"/>
        <v>483.84192037266689</v>
      </c>
      <c r="N89" s="137">
        <f>VLOOKUP(A89,NSAmaksa_2021!$A$4:$N$138,12,FALSE)</f>
        <v>119.12449999999998</v>
      </c>
      <c r="O89" s="137">
        <f>VLOOKUP(A89,NSAmaksa_2021!$A$4:$N$138,14,FALSE)</f>
        <v>55.591433333333335</v>
      </c>
      <c r="P89" s="132">
        <f t="shared" si="32"/>
        <v>139148.5183523164</v>
      </c>
      <c r="Q89" s="132">
        <f t="shared" si="33"/>
        <v>141986.98758994701</v>
      </c>
      <c r="R89" s="132">
        <f t="shared" si="34"/>
        <v>144093.56710858436</v>
      </c>
      <c r="S89" s="132">
        <f t="shared" si="35"/>
        <v>109463.50110382224</v>
      </c>
      <c r="T89" s="132">
        <f t="shared" si="36"/>
        <v>111696.43023742498</v>
      </c>
      <c r="U89" s="132">
        <f t="shared" si="37"/>
        <v>113353.6061254197</v>
      </c>
      <c r="V89" s="132">
        <f t="shared" si="38"/>
        <v>29685.017248494158</v>
      </c>
      <c r="W89" s="132">
        <f t="shared" si="39"/>
        <v>30290.557352522024</v>
      </c>
      <c r="X89" s="132">
        <f t="shared" si="40"/>
        <v>30739.960983164667</v>
      </c>
      <c r="Y89" s="132">
        <f t="shared" si="41"/>
        <v>90715.535584180849</v>
      </c>
      <c r="Z89" s="138">
        <f t="shared" si="42"/>
        <v>12.302259864234586</v>
      </c>
    </row>
    <row r="90" spans="1:26" outlineLevel="1" x14ac:dyDescent="0.3">
      <c r="A90" s="98" t="s">
        <v>85</v>
      </c>
      <c r="B90" s="132">
        <f>VLOOKUP(A90,Iedz_sk!$B$5:$Y$123,15,FALSE)</f>
        <v>3005</v>
      </c>
      <c r="C90" s="132">
        <f>VLOOKUP(A90,Iedz_sk!$B$5:$Y$123,16,FALSE)</f>
        <v>2919</v>
      </c>
      <c r="D90" s="132">
        <f>VLOOKUP(A90,Iedz_sk!$B$5:$Y$123,17,FALSE)</f>
        <v>2832</v>
      </c>
      <c r="E90" s="133">
        <f>VLOOKUP($A90,IKP!$Q$6:$AC$124,11,FALSE)</f>
        <v>28377.080163339208</v>
      </c>
      <c r="F90" s="133">
        <f>VLOOKUP($A90,IKP!$Q$6:$AC$124,12,FALSE)</f>
        <v>29657.733463873104</v>
      </c>
      <c r="G90" s="133">
        <f>VLOOKUP($A90,IKP!$Q$6:$AC$124,13,FALSE)</f>
        <v>30592.217963483505</v>
      </c>
      <c r="H90" s="132">
        <f>((-0.0000000006)*IKP!$J$5 + 0.0461)*E90</f>
        <v>779.09177092186712</v>
      </c>
      <c r="I90" s="132">
        <f>((-0.0000000006)*IKP!$K$5 + 0.0461)*F90</f>
        <v>786.05062184320764</v>
      </c>
      <c r="J90" s="132">
        <f>((-0.0000000006)*IKP!$L$5 + 0.0461)*G90</f>
        <v>788.03791033781499</v>
      </c>
      <c r="K90" s="132">
        <f t="shared" si="29"/>
        <v>186.98202502124812</v>
      </c>
      <c r="L90" s="132">
        <f t="shared" si="30"/>
        <v>188.65214924236986</v>
      </c>
      <c r="M90" s="132">
        <f t="shared" si="31"/>
        <v>189.1290984810756</v>
      </c>
      <c r="N90" s="137">
        <f>VLOOKUP(A90,NSAmaksa_2021!$A$4:$N$138,12,FALSE)</f>
        <v>123.84350000000001</v>
      </c>
      <c r="O90" s="137">
        <f>VLOOKUP(A90,NSAmaksa_2021!$A$4:$N$138,14,FALSE)</f>
        <v>57.793633333333325</v>
      </c>
      <c r="P90" s="132">
        <f t="shared" si="32"/>
        <v>57891.271039297346</v>
      </c>
      <c r="Q90" s="132">
        <f t="shared" si="33"/>
        <v>58408.356111743567</v>
      </c>
      <c r="R90" s="132">
        <f t="shared" si="34"/>
        <v>58556.023769352716</v>
      </c>
      <c r="S90" s="132">
        <f t="shared" si="35"/>
        <v>45541.133217580587</v>
      </c>
      <c r="T90" s="132">
        <f t="shared" si="36"/>
        <v>45947.906807904947</v>
      </c>
      <c r="U90" s="132">
        <f t="shared" si="37"/>
        <v>46064.072031890799</v>
      </c>
      <c r="V90" s="132">
        <f t="shared" si="38"/>
        <v>12350.137821716758</v>
      </c>
      <c r="W90" s="132">
        <f t="shared" si="39"/>
        <v>12460.449303838621</v>
      </c>
      <c r="X90" s="132">
        <f t="shared" si="40"/>
        <v>12491.951737461917</v>
      </c>
      <c r="Y90" s="132">
        <f t="shared" si="41"/>
        <v>37302.538863017297</v>
      </c>
      <c r="Z90" s="138">
        <f t="shared" si="42"/>
        <v>12.789601798927473</v>
      </c>
    </row>
    <row r="91" spans="1:26" outlineLevel="1" x14ac:dyDescent="0.3">
      <c r="A91" s="98" t="s">
        <v>86</v>
      </c>
      <c r="B91" s="132">
        <f>VLOOKUP(A91,Iedz_sk!$B$5:$Y$123,15,FALSE)</f>
        <v>24244</v>
      </c>
      <c r="C91" s="132">
        <f>VLOOKUP(A91,Iedz_sk!$B$5:$Y$123,16,FALSE)</f>
        <v>23823</v>
      </c>
      <c r="D91" s="132">
        <f>VLOOKUP(A91,Iedz_sk!$B$5:$Y$123,17,FALSE)</f>
        <v>23402</v>
      </c>
      <c r="E91" s="133">
        <f>VLOOKUP($A91,IKP!$Q$6:$AC$124,11,FALSE)</f>
        <v>159426.14915337184</v>
      </c>
      <c r="F91" s="133">
        <f>VLOOKUP($A91,IKP!$Q$6:$AC$124,12,FALSE)</f>
        <v>168513.80841502876</v>
      </c>
      <c r="G91" s="133">
        <f>VLOOKUP($A91,IKP!$Q$6:$AC$124,13,FALSE)</f>
        <v>175958.39663945106</v>
      </c>
      <c r="H91" s="132">
        <f>((-0.0000000006)*IKP!$J$5 + 0.0461)*E91</f>
        <v>4377.0395037196222</v>
      </c>
      <c r="I91" s="132">
        <f>((-0.0000000006)*IKP!$K$5 + 0.0461)*F91</f>
        <v>4466.301649623837</v>
      </c>
      <c r="J91" s="132">
        <f>((-0.0000000006)*IKP!$L$5 + 0.0461)*G91</f>
        <v>4532.5869265072442</v>
      </c>
      <c r="K91" s="132">
        <f t="shared" si="29"/>
        <v>1050.4894808927095</v>
      </c>
      <c r="L91" s="132">
        <f t="shared" si="30"/>
        <v>1071.912395909721</v>
      </c>
      <c r="M91" s="132">
        <f t="shared" si="31"/>
        <v>1087.8208623617386</v>
      </c>
      <c r="N91" s="137">
        <f>VLOOKUP(A91,NSAmaksa_2021!$A$4:$N$138,12,FALSE)</f>
        <v>78.650000000000006</v>
      </c>
      <c r="O91" s="137">
        <f>VLOOKUP(A91,NSAmaksa_2021!$A$4:$N$138,14,FALSE)</f>
        <v>36.703333333333333</v>
      </c>
      <c r="P91" s="132">
        <f t="shared" si="32"/>
        <v>206552.49418052897</v>
      </c>
      <c r="Q91" s="132">
        <f t="shared" si="33"/>
        <v>210764.77484574888</v>
      </c>
      <c r="R91" s="132">
        <f t="shared" si="34"/>
        <v>213892.77706187687</v>
      </c>
      <c r="S91" s="132">
        <f t="shared" si="35"/>
        <v>162487.96208868281</v>
      </c>
      <c r="T91" s="132">
        <f t="shared" si="36"/>
        <v>165801.62287865579</v>
      </c>
      <c r="U91" s="132">
        <f t="shared" si="37"/>
        <v>168262.31795534311</v>
      </c>
      <c r="V91" s="132">
        <f t="shared" si="38"/>
        <v>44064.532091846166</v>
      </c>
      <c r="W91" s="132">
        <f t="shared" si="39"/>
        <v>44963.151967093087</v>
      </c>
      <c r="X91" s="132">
        <f t="shared" si="40"/>
        <v>45630.459106533759</v>
      </c>
      <c r="Y91" s="132">
        <f t="shared" si="41"/>
        <v>134658.14316547301</v>
      </c>
      <c r="Z91" s="138">
        <f t="shared" si="42"/>
        <v>5.6547808974829774</v>
      </c>
    </row>
    <row r="92" spans="1:26" outlineLevel="1" x14ac:dyDescent="0.3">
      <c r="A92" s="98" t="s">
        <v>87</v>
      </c>
      <c r="B92" s="132">
        <f>VLOOKUP(A92,Iedz_sk!$B$5:$Y$123,15,FALSE)</f>
        <v>4466</v>
      </c>
      <c r="C92" s="132">
        <f>VLOOKUP(A92,Iedz_sk!$B$5:$Y$123,16,FALSE)</f>
        <v>4370</v>
      </c>
      <c r="D92" s="132">
        <f>VLOOKUP(A92,Iedz_sk!$B$5:$Y$123,17,FALSE)</f>
        <v>4275</v>
      </c>
      <c r="E92" s="133">
        <f>VLOOKUP($A92,IKP!$Q$6:$AC$124,11,FALSE)</f>
        <v>29367.974844042183</v>
      </c>
      <c r="F92" s="133">
        <f>VLOOKUP($A92,IKP!$Q$6:$AC$124,12,FALSE)</f>
        <v>30911.528471379581</v>
      </c>
      <c r="G92" s="133">
        <f>VLOOKUP($A92,IKP!$Q$6:$AC$124,13,FALSE)</f>
        <v>32143.498232358485</v>
      </c>
      <c r="H92" s="132">
        <f>((-0.0000000006)*IKP!$J$5 + 0.0461)*E92</f>
        <v>806.29675068519362</v>
      </c>
      <c r="I92" s="132">
        <f>((-0.0000000006)*IKP!$K$5 + 0.0461)*F92</f>
        <v>819.28129156093564</v>
      </c>
      <c r="J92" s="132">
        <f>((-0.0000000006)*IKP!$L$5 + 0.0461)*G92</f>
        <v>827.99799636007481</v>
      </c>
      <c r="K92" s="132">
        <f t="shared" si="29"/>
        <v>193.51122016444646</v>
      </c>
      <c r="L92" s="132">
        <f t="shared" si="30"/>
        <v>196.62750997462459</v>
      </c>
      <c r="M92" s="132">
        <f t="shared" si="31"/>
        <v>198.71951912641796</v>
      </c>
      <c r="N92" s="137">
        <f>VLOOKUP(A92,NSAmaksa_2021!$A$4:$N$138,12,FALSE)</f>
        <v>131.58750000000001</v>
      </c>
      <c r="O92" s="137">
        <f>VLOOKUP(A92,NSAmaksa_2021!$A$4:$N$138,14,FALSE)</f>
        <v>61.407499999999992</v>
      </c>
      <c r="P92" s="132">
        <f t="shared" si="32"/>
        <v>63659.144208472753</v>
      </c>
      <c r="Q92" s="132">
        <f t="shared" si="33"/>
        <v>64684.306171964767</v>
      </c>
      <c r="R92" s="132">
        <f t="shared" si="34"/>
        <v>65372.511807618801</v>
      </c>
      <c r="S92" s="132">
        <f t="shared" si="35"/>
        <v>50078.526777331892</v>
      </c>
      <c r="T92" s="132">
        <f t="shared" si="36"/>
        <v>50884.987521945615</v>
      </c>
      <c r="U92" s="132">
        <f t="shared" si="37"/>
        <v>51426.375955326796</v>
      </c>
      <c r="V92" s="132">
        <f t="shared" si="38"/>
        <v>13580.617431140861</v>
      </c>
      <c r="W92" s="132">
        <f t="shared" si="39"/>
        <v>13799.318650019151</v>
      </c>
      <c r="X92" s="132">
        <f t="shared" si="40"/>
        <v>13946.135852292005</v>
      </c>
      <c r="Y92" s="132">
        <f t="shared" si="41"/>
        <v>41326.071933452018</v>
      </c>
      <c r="Z92" s="138">
        <f t="shared" si="42"/>
        <v>9.4608834246349822</v>
      </c>
    </row>
    <row r="93" spans="1:26" outlineLevel="1" x14ac:dyDescent="0.3">
      <c r="A93" s="98" t="s">
        <v>88</v>
      </c>
      <c r="B93" s="132">
        <f>VLOOKUP(A93,Iedz_sk!$B$5:$Y$123,15,FALSE)</f>
        <v>3390</v>
      </c>
      <c r="C93" s="132">
        <f>VLOOKUP(A93,Iedz_sk!$B$5:$Y$123,16,FALSE)</f>
        <v>3328</v>
      </c>
      <c r="D93" s="132">
        <f>VLOOKUP(A93,Iedz_sk!$B$5:$Y$123,17,FALSE)</f>
        <v>3266</v>
      </c>
      <c r="E93" s="133">
        <f>VLOOKUP($A93,IKP!$Q$6:$AC$124,11,FALSE)</f>
        <v>32480.150816041358</v>
      </c>
      <c r="F93" s="133">
        <f>VLOOKUP($A93,IKP!$Q$6:$AC$124,12,FALSE)</f>
        <v>34120.823880786586</v>
      </c>
      <c r="G93" s="133">
        <f>VLOOKUP($A93,IKP!$Q$6:$AC$124,13,FALSE)</f>
        <v>35400.119879509999</v>
      </c>
      <c r="H93" s="132">
        <f>((-0.0000000006)*IKP!$J$5 + 0.0461)*E93</f>
        <v>891.74143616688707</v>
      </c>
      <c r="I93" s="132">
        <f>((-0.0000000006)*IKP!$K$5 + 0.0461)*F93</f>
        <v>904.34067937004988</v>
      </c>
      <c r="J93" s="132">
        <f>((-0.0000000006)*IKP!$L$5 + 0.0461)*G93</f>
        <v>911.88669382704154</v>
      </c>
      <c r="K93" s="132">
        <f t="shared" si="29"/>
        <v>214.01794468005289</v>
      </c>
      <c r="L93" s="132">
        <f t="shared" si="30"/>
        <v>217.04176304881199</v>
      </c>
      <c r="M93" s="132">
        <f t="shared" si="31"/>
        <v>218.85280651848998</v>
      </c>
      <c r="N93" s="137">
        <f>VLOOKUP(A93,NSAmaksa_2021!$A$4:$N$138,12,FALSE)</f>
        <v>86.05</v>
      </c>
      <c r="O93" s="137">
        <f>VLOOKUP(A93,NSAmaksa_2021!$A$4:$N$138,14,FALSE)</f>
        <v>63.533333333333331</v>
      </c>
      <c r="P93" s="132">
        <f t="shared" si="32"/>
        <v>46040.610349296374</v>
      </c>
      <c r="Q93" s="132">
        <f t="shared" si="33"/>
        <v>46691.109275875679</v>
      </c>
      <c r="R93" s="132">
        <f t="shared" si="34"/>
        <v>47080.710002290158</v>
      </c>
      <c r="S93" s="132">
        <f t="shared" si="35"/>
        <v>41221.639628250516</v>
      </c>
      <c r="T93" s="132">
        <f t="shared" si="36"/>
        <v>41804.052244559927</v>
      </c>
      <c r="U93" s="132">
        <f t="shared" si="37"/>
        <v>42152.874308848819</v>
      </c>
      <c r="V93" s="132">
        <f t="shared" si="38"/>
        <v>4818.9707210458582</v>
      </c>
      <c r="W93" s="132">
        <f t="shared" si="39"/>
        <v>4887.0570313157514</v>
      </c>
      <c r="X93" s="132">
        <f t="shared" si="40"/>
        <v>4927.8356934413387</v>
      </c>
      <c r="Y93" s="132">
        <f t="shared" si="41"/>
        <v>14633.863445802948</v>
      </c>
      <c r="Z93" s="138">
        <f t="shared" si="42"/>
        <v>4.3988209974308372</v>
      </c>
    </row>
    <row r="94" spans="1:26" outlineLevel="1" x14ac:dyDescent="0.3">
      <c r="A94" s="98" t="s">
        <v>89</v>
      </c>
      <c r="B94" s="132">
        <f>VLOOKUP(A94,Iedz_sk!$B$5:$Y$123,15,FALSE)</f>
        <v>6836</v>
      </c>
      <c r="C94" s="132">
        <f>VLOOKUP(A94,Iedz_sk!$B$5:$Y$123,16,FALSE)</f>
        <v>6846</v>
      </c>
      <c r="D94" s="132">
        <f>VLOOKUP(A94,Iedz_sk!$B$5:$Y$123,17,FALSE)</f>
        <v>6856</v>
      </c>
      <c r="E94" s="133">
        <f>VLOOKUP($A94,IKP!$Q$6:$AC$124,11,FALSE)</f>
        <v>88684.247194200099</v>
      </c>
      <c r="F94" s="133">
        <f>VLOOKUP($A94,IKP!$Q$6:$AC$124,12,FALSE)</f>
        <v>93632.305827887758</v>
      </c>
      <c r="G94" s="133">
        <f>VLOOKUP($A94,IKP!$Q$6:$AC$124,13,FALSE)</f>
        <v>97634.391078634071</v>
      </c>
      <c r="H94" s="132">
        <f>((-0.0000000006)*IKP!$J$5 + 0.0461)*E94</f>
        <v>2434.8229910089381</v>
      </c>
      <c r="I94" s="132">
        <f>((-0.0000000006)*IKP!$K$5 + 0.0461)*F94</f>
        <v>2481.6371187055956</v>
      </c>
      <c r="J94" s="132">
        <f>((-0.0000000006)*IKP!$L$5 + 0.0461)*G94</f>
        <v>2515.0056662956245</v>
      </c>
      <c r="K94" s="132">
        <f t="shared" si="29"/>
        <v>584.35751784214517</v>
      </c>
      <c r="L94" s="132">
        <f t="shared" si="30"/>
        <v>595.59290848934302</v>
      </c>
      <c r="M94" s="132">
        <f t="shared" si="31"/>
        <v>603.6013599109499</v>
      </c>
      <c r="N94" s="137">
        <f>VLOOKUP(A94,NSAmaksa_2021!$A$4:$N$138,12,FALSE)</f>
        <v>106.29849999999999</v>
      </c>
      <c r="O94" s="137">
        <f>VLOOKUP(A94,NSAmaksa_2021!$A$4:$N$138,14,FALSE)</f>
        <v>48.4</v>
      </c>
      <c r="P94" s="132">
        <f t="shared" si="32"/>
        <v>155290.81902585813</v>
      </c>
      <c r="Q94" s="132">
        <f t="shared" si="33"/>
        <v>158276.58195763605</v>
      </c>
      <c r="R94" s="132">
        <f t="shared" si="34"/>
        <v>160404.79789123524</v>
      </c>
      <c r="S94" s="132">
        <f t="shared" si="35"/>
        <v>121457.39527907471</v>
      </c>
      <c r="T94" s="132">
        <f t="shared" si="36"/>
        <v>123792.64594546582</v>
      </c>
      <c r="U94" s="132">
        <f t="shared" si="37"/>
        <v>125457.18455443112</v>
      </c>
      <c r="V94" s="132">
        <f t="shared" si="38"/>
        <v>33833.423746783417</v>
      </c>
      <c r="W94" s="132">
        <f t="shared" si="39"/>
        <v>34483.936012170234</v>
      </c>
      <c r="X94" s="132">
        <f t="shared" si="40"/>
        <v>34947.613336804119</v>
      </c>
      <c r="Y94" s="132">
        <f t="shared" si="41"/>
        <v>103264.97309575777</v>
      </c>
      <c r="Z94" s="138">
        <f t="shared" si="42"/>
        <v>15.083770427076907</v>
      </c>
    </row>
    <row r="95" spans="1:26" outlineLevel="1" x14ac:dyDescent="0.3">
      <c r="A95" s="98" t="s">
        <v>90</v>
      </c>
      <c r="B95" s="132">
        <f>VLOOKUP(A95,Iedz_sk!$B$5:$Y$123,15,FALSE)</f>
        <v>1505</v>
      </c>
      <c r="C95" s="132">
        <f>VLOOKUP(A95,Iedz_sk!$B$5:$Y$123,16,FALSE)</f>
        <v>1463</v>
      </c>
      <c r="D95" s="132">
        <f>VLOOKUP(A95,Iedz_sk!$B$5:$Y$123,17,FALSE)</f>
        <v>1421</v>
      </c>
      <c r="E95" s="133">
        <f>VLOOKUP($A95,IKP!$Q$6:$AC$124,11,FALSE)</f>
        <v>14419.653975853169</v>
      </c>
      <c r="F95" s="133">
        <f>VLOOKUP($A95,IKP!$Q$6:$AC$124,12,FALSE)</f>
        <v>14999.629007689537</v>
      </c>
      <c r="G95" s="133">
        <f>VLOOKUP($A95,IKP!$Q$6:$AC$124,13,FALSE)</f>
        <v>15402.195452781296</v>
      </c>
      <c r="H95" s="132">
        <f>((-0.0000000006)*IKP!$J$5 + 0.0461)*E95</f>
        <v>395.89110956671539</v>
      </c>
      <c r="I95" s="132">
        <f>((-0.0000000006)*IKP!$K$5 + 0.0461)*F95</f>
        <v>397.55120610528337</v>
      </c>
      <c r="J95" s="132">
        <f>((-0.0000000006)*IKP!$L$5 + 0.0461)*G95</f>
        <v>396.75168154569076</v>
      </c>
      <c r="K95" s="132">
        <f t="shared" si="29"/>
        <v>95.013866296011699</v>
      </c>
      <c r="L95" s="132">
        <f t="shared" si="30"/>
        <v>95.412289465268003</v>
      </c>
      <c r="M95" s="132">
        <f t="shared" si="31"/>
        <v>95.220403570965786</v>
      </c>
      <c r="N95" s="137">
        <f>VLOOKUP(A95,NSAmaksa_2021!$A$4:$N$138,12,FALSE)</f>
        <v>85.25</v>
      </c>
      <c r="O95" s="137">
        <f>VLOOKUP(A95,NSAmaksa_2021!$A$4:$N$138,14,FALSE)</f>
        <v>39.783333333333331</v>
      </c>
      <c r="P95" s="132">
        <f t="shared" si="32"/>
        <v>20249.830254337492</v>
      </c>
      <c r="Q95" s="132">
        <f t="shared" si="33"/>
        <v>20334.744192285245</v>
      </c>
      <c r="R95" s="132">
        <f t="shared" si="34"/>
        <v>20293.848511062082</v>
      </c>
      <c r="S95" s="132">
        <f t="shared" si="35"/>
        <v>15929.866466745494</v>
      </c>
      <c r="T95" s="132">
        <f t="shared" si="36"/>
        <v>15996.665431264393</v>
      </c>
      <c r="U95" s="132">
        <f t="shared" si="37"/>
        <v>15964.494162035504</v>
      </c>
      <c r="V95" s="132">
        <f t="shared" si="38"/>
        <v>4319.963787591998</v>
      </c>
      <c r="W95" s="132">
        <f t="shared" si="39"/>
        <v>4338.0787610208517</v>
      </c>
      <c r="X95" s="132">
        <f t="shared" si="40"/>
        <v>4329.3543490265783</v>
      </c>
      <c r="Y95" s="132">
        <f t="shared" si="41"/>
        <v>12987.396897639428</v>
      </c>
      <c r="Z95" s="138">
        <f t="shared" si="42"/>
        <v>8.8822973212370968</v>
      </c>
    </row>
    <row r="96" spans="1:26" outlineLevel="1" x14ac:dyDescent="0.3">
      <c r="A96" s="98" t="s">
        <v>91</v>
      </c>
      <c r="B96" s="132">
        <f>VLOOKUP(A96,Iedz_sk!$B$5:$Y$123,15,FALSE)</f>
        <v>2026</v>
      </c>
      <c r="C96" s="132">
        <f>VLOOKUP(A96,Iedz_sk!$B$5:$Y$123,16,FALSE)</f>
        <v>2003</v>
      </c>
      <c r="D96" s="132">
        <f>VLOOKUP(A96,Iedz_sk!$B$5:$Y$123,17,FALSE)</f>
        <v>1980</v>
      </c>
      <c r="E96" s="133">
        <f>VLOOKUP($A96,IKP!$Q$6:$AC$124,11,FALSE)</f>
        <v>13322.775869688638</v>
      </c>
      <c r="F96" s="133">
        <f>VLOOKUP($A96,IKP!$Q$6:$AC$124,12,FALSE)</f>
        <v>14168.373347408078</v>
      </c>
      <c r="G96" s="133">
        <f>VLOOKUP($A96,IKP!$Q$6:$AC$124,13,FALSE)</f>
        <v>14887.514970776561</v>
      </c>
      <c r="H96" s="132">
        <f>((-0.0000000006)*IKP!$J$5 + 0.0461)*E96</f>
        <v>365.77635846130812</v>
      </c>
      <c r="I96" s="132">
        <f>((-0.0000000006)*IKP!$K$5 + 0.0461)*F96</f>
        <v>375.51954851179727</v>
      </c>
      <c r="J96" s="132">
        <f>((-0.0000000006)*IKP!$L$5 + 0.0461)*G96</f>
        <v>383.4938088404557</v>
      </c>
      <c r="K96" s="132">
        <f t="shared" si="29"/>
        <v>87.786326030713937</v>
      </c>
      <c r="L96" s="132">
        <f t="shared" si="30"/>
        <v>90.124691642831351</v>
      </c>
      <c r="M96" s="132">
        <f t="shared" si="31"/>
        <v>92.038514121709369</v>
      </c>
      <c r="N96" s="137">
        <f>VLOOKUP(A96,NSAmaksa_2021!$A$4:$N$138,12,FALSE)</f>
        <v>121.726</v>
      </c>
      <c r="O96" s="137">
        <f>VLOOKUP(A96,NSAmaksa_2021!$A$4:$N$138,14,FALSE)</f>
        <v>56.805466666666675</v>
      </c>
      <c r="P96" s="132">
        <f t="shared" si="32"/>
        <v>26714.695806036714</v>
      </c>
      <c r="Q96" s="132">
        <f t="shared" si="33"/>
        <v>27426.295537288221</v>
      </c>
      <c r="R96" s="132">
        <f t="shared" si="34"/>
        <v>28008.700424947983</v>
      </c>
      <c r="S96" s="132">
        <f t="shared" si="35"/>
        <v>21015.560700748883</v>
      </c>
      <c r="T96" s="132">
        <f t="shared" si="36"/>
        <v>21575.3524893334</v>
      </c>
      <c r="U96" s="132">
        <f t="shared" si="37"/>
        <v>22033.511000959083</v>
      </c>
      <c r="V96" s="132">
        <f t="shared" si="38"/>
        <v>5699.1351052878308</v>
      </c>
      <c r="W96" s="132">
        <f t="shared" si="39"/>
        <v>5850.9430479548209</v>
      </c>
      <c r="X96" s="132">
        <f t="shared" si="40"/>
        <v>5975.1894239889007</v>
      </c>
      <c r="Y96" s="132">
        <f t="shared" si="41"/>
        <v>17525.267577231552</v>
      </c>
      <c r="Z96" s="138">
        <f t="shared" si="42"/>
        <v>8.7518608967198048</v>
      </c>
    </row>
    <row r="97" spans="1:26" outlineLevel="1" x14ac:dyDescent="0.3">
      <c r="A97" s="98" t="s">
        <v>92</v>
      </c>
      <c r="B97" s="132">
        <f>VLOOKUP(A97,Iedz_sk!$B$5:$Y$123,15,FALSE)</f>
        <v>3290</v>
      </c>
      <c r="C97" s="132">
        <f>VLOOKUP(A97,Iedz_sk!$B$5:$Y$123,16,FALSE)</f>
        <v>3249</v>
      </c>
      <c r="D97" s="132">
        <f>VLOOKUP(A97,Iedz_sk!$B$5:$Y$123,17,FALSE)</f>
        <v>3207</v>
      </c>
      <c r="E97" s="133">
        <f>VLOOKUP($A97,IKP!$Q$6:$AC$124,11,FALSE)</f>
        <v>28077.522318024428</v>
      </c>
      <c r="F97" s="133">
        <f>VLOOKUP($A97,IKP!$Q$6:$AC$124,12,FALSE)</f>
        <v>29623.600411494226</v>
      </c>
      <c r="G97" s="133">
        <f>VLOOKUP($A97,IKP!$Q$6:$AC$124,13,FALSE)</f>
        <v>30862.330422142168</v>
      </c>
      <c r="H97" s="132">
        <f>((-0.0000000006)*IKP!$J$5 + 0.0461)*E97</f>
        <v>770.86742046521431</v>
      </c>
      <c r="I97" s="132">
        <f>((-0.0000000006)*IKP!$K$5 + 0.0461)*F97</f>
        <v>785.14595705887723</v>
      </c>
      <c r="J97" s="132">
        <f>((-0.0000000006)*IKP!$L$5 + 0.0461)*G97</f>
        <v>794.99585165909025</v>
      </c>
      <c r="K97" s="132">
        <f t="shared" si="29"/>
        <v>185.00818091165144</v>
      </c>
      <c r="L97" s="132">
        <f t="shared" si="30"/>
        <v>188.43502969413055</v>
      </c>
      <c r="M97" s="132">
        <f t="shared" si="31"/>
        <v>190.79900439818167</v>
      </c>
      <c r="N97" s="137">
        <f>VLOOKUP(A97,NSAmaksa_2021!$A$4:$N$138,12,FALSE)</f>
        <v>113.8</v>
      </c>
      <c r="O97" s="137">
        <f>VLOOKUP(A97,NSAmaksa_2021!$A$4:$N$138,14,FALSE)</f>
        <v>41.533333333333339</v>
      </c>
      <c r="P97" s="132">
        <f t="shared" si="32"/>
        <v>52634.827469364827</v>
      </c>
      <c r="Q97" s="132">
        <f t="shared" si="33"/>
        <v>53609.765947980137</v>
      </c>
      <c r="R97" s="132">
        <f t="shared" si="34"/>
        <v>54282.316751282684</v>
      </c>
      <c r="S97" s="132">
        <f t="shared" si="35"/>
        <v>39264.902928816155</v>
      </c>
      <c r="T97" s="132">
        <f t="shared" si="36"/>
        <v>39992.194468750968</v>
      </c>
      <c r="U97" s="132">
        <f t="shared" si="37"/>
        <v>40493.908700107422</v>
      </c>
      <c r="V97" s="132">
        <f t="shared" si="38"/>
        <v>13369.924540548673</v>
      </c>
      <c r="W97" s="132">
        <f t="shared" si="39"/>
        <v>13617.571479229169</v>
      </c>
      <c r="X97" s="132">
        <f t="shared" si="40"/>
        <v>13788.408051175262</v>
      </c>
      <c r="Y97" s="132">
        <f t="shared" si="41"/>
        <v>40775.904070953104</v>
      </c>
      <c r="Z97" s="138">
        <f t="shared" si="42"/>
        <v>12.554590899259997</v>
      </c>
    </row>
    <row r="98" spans="1:26" outlineLevel="1" x14ac:dyDescent="0.3">
      <c r="A98" s="98" t="s">
        <v>93</v>
      </c>
      <c r="B98" s="132">
        <f>VLOOKUP(A98,Iedz_sk!$B$5:$Y$123,15,FALSE)</f>
        <v>4817</v>
      </c>
      <c r="C98" s="132">
        <f>VLOOKUP(A98,Iedz_sk!$B$5:$Y$123,16,FALSE)</f>
        <v>4711</v>
      </c>
      <c r="D98" s="132">
        <f>VLOOKUP(A98,Iedz_sk!$B$5:$Y$123,17,FALSE)</f>
        <v>4605</v>
      </c>
      <c r="E98" s="133">
        <f>VLOOKUP($A98,IKP!$Q$6:$AC$124,11,FALSE)</f>
        <v>45488.317852514134</v>
      </c>
      <c r="F98" s="133">
        <f>VLOOKUP($A98,IKP!$Q$6:$AC$124,12,FALSE)</f>
        <v>47864.879187497841</v>
      </c>
      <c r="G98" s="133">
        <f>VLOOKUP($A98,IKP!$Q$6:$AC$124,13,FALSE)</f>
        <v>49744.761201215231</v>
      </c>
      <c r="H98" s="132">
        <f>((-0.0000000006)*IKP!$J$5 + 0.0461)*E98</f>
        <v>1248.8802198105273</v>
      </c>
      <c r="I98" s="132">
        <f>((-0.0000000006)*IKP!$K$5 + 0.0461)*F98</f>
        <v>1268.6140731426349</v>
      </c>
      <c r="J98" s="132">
        <f>((-0.0000000006)*IKP!$L$5 + 0.0461)*G98</f>
        <v>1281.3963902209173</v>
      </c>
      <c r="K98" s="132">
        <f t="shared" si="29"/>
        <v>299.73125275452657</v>
      </c>
      <c r="L98" s="132">
        <f t="shared" si="30"/>
        <v>304.46737755423237</v>
      </c>
      <c r="M98" s="132">
        <f t="shared" si="31"/>
        <v>307.53513365302013</v>
      </c>
      <c r="N98" s="137">
        <f>VLOOKUP(A98,NSAmaksa_2021!$A$4:$N$138,12,FALSE)</f>
        <v>123.84350000000001</v>
      </c>
      <c r="O98" s="137">
        <f>VLOOKUP(A98,NSAmaksa_2021!$A$4:$N$138,14,FALSE)</f>
        <v>57.793633333333325</v>
      </c>
      <c r="P98" s="132">
        <f t="shared" si="32"/>
        <v>92799.418501263019</v>
      </c>
      <c r="Q98" s="132">
        <f t="shared" si="33"/>
        <v>94265.764180343947</v>
      </c>
      <c r="R98" s="132">
        <f t="shared" si="34"/>
        <v>95215.568311394512</v>
      </c>
      <c r="S98" s="132">
        <f t="shared" si="35"/>
        <v>73002.209220993565</v>
      </c>
      <c r="T98" s="132">
        <f t="shared" si="36"/>
        <v>74155.734488537229</v>
      </c>
      <c r="U98" s="132">
        <f t="shared" si="37"/>
        <v>74902.913738297008</v>
      </c>
      <c r="V98" s="132">
        <f t="shared" si="38"/>
        <v>19797.209280269453</v>
      </c>
      <c r="W98" s="132">
        <f t="shared" si="39"/>
        <v>20110.029691806718</v>
      </c>
      <c r="X98" s="132">
        <f t="shared" si="40"/>
        <v>20312.654573097505</v>
      </c>
      <c r="Y98" s="132">
        <f t="shared" si="41"/>
        <v>60219.893545173676</v>
      </c>
      <c r="Z98" s="138">
        <f t="shared" si="42"/>
        <v>12.789601798927485</v>
      </c>
    </row>
    <row r="99" spans="1:26" outlineLevel="1" x14ac:dyDescent="0.3">
      <c r="A99" s="98" t="s">
        <v>94</v>
      </c>
      <c r="B99" s="132">
        <f>VLOOKUP(A99,Iedz_sk!$B$5:$Y$123,15,FALSE)</f>
        <v>7282</v>
      </c>
      <c r="C99" s="132">
        <f>VLOOKUP(A99,Iedz_sk!$B$5:$Y$123,16,FALSE)</f>
        <v>7147</v>
      </c>
      <c r="D99" s="132">
        <f>VLOOKUP(A99,Iedz_sk!$B$5:$Y$123,17,FALSE)</f>
        <v>7012</v>
      </c>
      <c r="E99" s="133">
        <f>VLOOKUP($A99,IKP!$Q$6:$AC$124,11,FALSE)</f>
        <v>94470.258640749729</v>
      </c>
      <c r="F99" s="133">
        <f>VLOOKUP($A99,IKP!$Q$6:$AC$124,12,FALSE)</f>
        <v>97749.063650586293</v>
      </c>
      <c r="G99" s="133">
        <f>VLOOKUP($A99,IKP!$Q$6:$AC$124,13,FALSE)</f>
        <v>99855.943734448971</v>
      </c>
      <c r="H99" s="132">
        <f>((-0.0000000006)*IKP!$J$5 + 0.0461)*E99</f>
        <v>2593.6777385206392</v>
      </c>
      <c r="I99" s="132">
        <f>((-0.0000000006)*IKP!$K$5 + 0.0461)*F99</f>
        <v>2590.7479531681115</v>
      </c>
      <c r="J99" s="132">
        <f>((-0.0000000006)*IKP!$L$5 + 0.0461)*G99</f>
        <v>2572.2315828566102</v>
      </c>
      <c r="K99" s="132">
        <f t="shared" si="29"/>
        <v>622.48265724495343</v>
      </c>
      <c r="L99" s="132">
        <f t="shared" si="30"/>
        <v>621.77950876034674</v>
      </c>
      <c r="M99" s="132">
        <f t="shared" si="31"/>
        <v>617.33557988558653</v>
      </c>
      <c r="N99" s="137">
        <f>VLOOKUP(A99,NSAmaksa_2021!$A$4:$N$138,12,FALSE)</f>
        <v>123.84350000000001</v>
      </c>
      <c r="O99" s="137">
        <f>VLOOKUP(A99,NSAmaksa_2021!$A$4:$N$138,14,FALSE)</f>
        <v>57.793633333333325</v>
      </c>
      <c r="P99" s="132">
        <f t="shared" si="32"/>
        <v>192726.07740628847</v>
      </c>
      <c r="Q99" s="132">
        <f t="shared" si="33"/>
        <v>192508.37648290501</v>
      </c>
      <c r="R99" s="132">
        <f t="shared" si="34"/>
        <v>191132.49721890155</v>
      </c>
      <c r="S99" s="132">
        <f t="shared" si="35"/>
        <v>151611.18089294693</v>
      </c>
      <c r="T99" s="132">
        <f t="shared" si="36"/>
        <v>151439.92283321859</v>
      </c>
      <c r="U99" s="132">
        <f t="shared" si="37"/>
        <v>150357.56447886923</v>
      </c>
      <c r="V99" s="132">
        <f t="shared" si="38"/>
        <v>41114.896513341548</v>
      </c>
      <c r="W99" s="132">
        <f t="shared" si="39"/>
        <v>41068.453649686417</v>
      </c>
      <c r="X99" s="132">
        <f t="shared" si="40"/>
        <v>40774.932740032324</v>
      </c>
      <c r="Y99" s="132">
        <f t="shared" si="41"/>
        <v>122958.28290306029</v>
      </c>
      <c r="Z99" s="138">
        <f t="shared" si="42"/>
        <v>17.207371961951342</v>
      </c>
    </row>
    <row r="100" spans="1:26" outlineLevel="1" x14ac:dyDescent="0.3">
      <c r="A100" s="98" t="s">
        <v>95</v>
      </c>
      <c r="B100" s="132">
        <f>VLOOKUP(A100,Iedz_sk!$B$5:$Y$123,15,FALSE)</f>
        <v>3241</v>
      </c>
      <c r="C100" s="132">
        <f>VLOOKUP(A100,Iedz_sk!$B$5:$Y$123,16,FALSE)</f>
        <v>3189</v>
      </c>
      <c r="D100" s="132">
        <f>VLOOKUP(A100,Iedz_sk!$B$5:$Y$123,17,FALSE)</f>
        <v>3138</v>
      </c>
      <c r="E100" s="133">
        <f>VLOOKUP($A100,IKP!$Q$6:$AC$124,11,FALSE)</f>
        <v>27659.346453713428</v>
      </c>
      <c r="F100" s="133">
        <f>VLOOKUP($A100,IKP!$Q$6:$AC$124,12,FALSE)</f>
        <v>29076.534845261645</v>
      </c>
      <c r="G100" s="133">
        <f>VLOOKUP($A100,IKP!$Q$6:$AC$124,13,FALSE)</f>
        <v>30198.313958429102</v>
      </c>
      <c r="H100" s="132">
        <f>((-0.0000000006)*IKP!$J$5 + 0.0461)*E100</f>
        <v>759.38641633062616</v>
      </c>
      <c r="I100" s="132">
        <f>((-0.0000000006)*IKP!$K$5 + 0.0461)*F100</f>
        <v>770.64649340128028</v>
      </c>
      <c r="J100" s="132">
        <f>((-0.0000000006)*IKP!$L$5 + 0.0461)*G100</f>
        <v>777.89117009860479</v>
      </c>
      <c r="K100" s="132">
        <f t="shared" si="29"/>
        <v>182.25273991935026</v>
      </c>
      <c r="L100" s="132">
        <f t="shared" si="30"/>
        <v>184.95515841630726</v>
      </c>
      <c r="M100" s="132">
        <f t="shared" si="31"/>
        <v>186.69388082366518</v>
      </c>
      <c r="N100" s="137">
        <f>VLOOKUP(A100,NSAmaksa_2021!$A$4:$N$138,12,FALSE)</f>
        <v>107.7</v>
      </c>
      <c r="O100" s="137">
        <f>VLOOKUP(A100,NSAmaksa_2021!$A$4:$N$138,14,FALSE)</f>
        <v>50.26</v>
      </c>
      <c r="P100" s="132">
        <f t="shared" si="32"/>
        <v>49071.550223285063</v>
      </c>
      <c r="Q100" s="132">
        <f t="shared" si="33"/>
        <v>49799.176403590733</v>
      </c>
      <c r="R100" s="132">
        <f t="shared" si="34"/>
        <v>50267.327411771839</v>
      </c>
      <c r="S100" s="132">
        <f t="shared" si="35"/>
        <v>38602.95284231758</v>
      </c>
      <c r="T100" s="132">
        <f t="shared" si="36"/>
        <v>39175.352104158046</v>
      </c>
      <c r="U100" s="132">
        <f t="shared" si="37"/>
        <v>39543.630897260511</v>
      </c>
      <c r="V100" s="132">
        <f t="shared" si="38"/>
        <v>10468.597380967483</v>
      </c>
      <c r="W100" s="132">
        <f t="shared" si="39"/>
        <v>10623.824299432687</v>
      </c>
      <c r="X100" s="132">
        <f t="shared" si="40"/>
        <v>10723.696514511328</v>
      </c>
      <c r="Y100" s="132">
        <f t="shared" si="41"/>
        <v>31816.118194911498</v>
      </c>
      <c r="Z100" s="138">
        <f t="shared" si="42"/>
        <v>9.9788150542457714</v>
      </c>
    </row>
    <row r="101" spans="1:26" outlineLevel="1" x14ac:dyDescent="0.3">
      <c r="A101" s="98" t="s">
        <v>96</v>
      </c>
      <c r="B101" s="132">
        <f>VLOOKUP(A101,Iedz_sk!$B$5:$Y$123,15,FALSE)</f>
        <v>22868</v>
      </c>
      <c r="C101" s="132">
        <f>VLOOKUP(A101,Iedz_sk!$B$5:$Y$123,16,FALSE)</f>
        <v>23017</v>
      </c>
      <c r="D101" s="132">
        <f>VLOOKUP(A101,Iedz_sk!$B$5:$Y$123,17,FALSE)</f>
        <v>23165</v>
      </c>
      <c r="E101" s="133">
        <f>VLOOKUP($A101,IKP!$Q$6:$AC$124,11,FALSE)</f>
        <v>296669.30439393915</v>
      </c>
      <c r="F101" s="133">
        <f>VLOOKUP($A101,IKP!$Q$6:$AC$124,12,FALSE)</f>
        <v>314802.0425417021</v>
      </c>
      <c r="G101" s="133">
        <f>VLOOKUP($A101,IKP!$Q$6:$AC$124,13,FALSE)</f>
        <v>329886.32866635913</v>
      </c>
      <c r="H101" s="132">
        <f>((-0.0000000006)*IKP!$J$5 + 0.0461)*E101</f>
        <v>8145.0456638959049</v>
      </c>
      <c r="I101" s="132">
        <f>((-0.0000000006)*IKP!$K$5 + 0.0461)*F101</f>
        <v>8343.535138949268</v>
      </c>
      <c r="J101" s="132">
        <f>((-0.0000000006)*IKP!$L$5 + 0.0461)*G101</f>
        <v>8497.6817765078958</v>
      </c>
      <c r="K101" s="132">
        <f t="shared" ref="K101:K124" si="43">H101*$AB$6*$AB$5</f>
        <v>1954.8109593350173</v>
      </c>
      <c r="L101" s="132">
        <f t="shared" ref="L101:L124" si="44">I101*$AB$6*$AB$5</f>
        <v>2002.4484333478244</v>
      </c>
      <c r="M101" s="132">
        <f t="shared" ref="M101:M124" si="45">J101*$AB$6*$AB$5</f>
        <v>2039.443626361895</v>
      </c>
      <c r="N101" s="137">
        <f>VLOOKUP(A101,NSAmaksa_2021!$A$4:$N$138,12,FALSE)</f>
        <v>74.5</v>
      </c>
      <c r="O101" s="137">
        <f>VLOOKUP(A101,NSAmaksa_2021!$A$4:$N$138,14,FALSE)</f>
        <v>34.766666666666666</v>
      </c>
      <c r="P101" s="132">
        <f t="shared" si="32"/>
        <v>364083.54117614694</v>
      </c>
      <c r="Q101" s="132">
        <f t="shared" si="33"/>
        <v>372956.02071103227</v>
      </c>
      <c r="R101" s="132">
        <f t="shared" si="34"/>
        <v>379846.37540990295</v>
      </c>
      <c r="S101" s="132">
        <f t="shared" si="35"/>
        <v>286412.38572523557</v>
      </c>
      <c r="T101" s="132">
        <f t="shared" si="36"/>
        <v>293392.069626012</v>
      </c>
      <c r="U101" s="132">
        <f t="shared" si="37"/>
        <v>298812.48198912368</v>
      </c>
      <c r="V101" s="132">
        <f t="shared" si="38"/>
        <v>77671.155450911378</v>
      </c>
      <c r="W101" s="132">
        <f t="shared" si="39"/>
        <v>79563.951085020264</v>
      </c>
      <c r="X101" s="132">
        <f t="shared" si="40"/>
        <v>81033.893420779263</v>
      </c>
      <c r="Y101" s="132">
        <f t="shared" si="41"/>
        <v>238268.9999567109</v>
      </c>
      <c r="Z101" s="138">
        <f t="shared" si="42"/>
        <v>10.351364513804722</v>
      </c>
    </row>
    <row r="102" spans="1:26" outlineLevel="1" x14ac:dyDescent="0.3">
      <c r="A102" s="98" t="s">
        <v>97</v>
      </c>
      <c r="B102" s="132">
        <f>VLOOKUP(A102,Iedz_sk!$B$5:$Y$123,15,FALSE)</f>
        <v>21438</v>
      </c>
      <c r="C102" s="132">
        <f>VLOOKUP(A102,Iedz_sk!$B$5:$Y$123,16,FALSE)</f>
        <v>20996</v>
      </c>
      <c r="D102" s="132">
        <f>VLOOKUP(A102,Iedz_sk!$B$5:$Y$123,17,FALSE)</f>
        <v>20554</v>
      </c>
      <c r="E102" s="133">
        <f>VLOOKUP($A102,IKP!$Q$6:$AC$124,11,FALSE)</f>
        <v>205401.02454108986</v>
      </c>
      <c r="F102" s="133">
        <f>VLOOKUP($A102,IKP!$Q$6:$AC$124,12,FALSE)</f>
        <v>215264.6689305875</v>
      </c>
      <c r="G102" s="133">
        <f>VLOOKUP($A102,IKP!$Q$6:$AC$124,13,FALSE)</f>
        <v>222784.46540215815</v>
      </c>
      <c r="H102" s="132">
        <f>((-0.0000000006)*IKP!$J$5 + 0.0461)*E102</f>
        <v>5639.2781441137831</v>
      </c>
      <c r="I102" s="132">
        <f>((-0.0000000006)*IKP!$K$5 + 0.0461)*F102</f>
        <v>5705.3896947276353</v>
      </c>
      <c r="J102" s="132">
        <f>((-0.0000000006)*IKP!$L$5 + 0.0461)*G102</f>
        <v>5738.7994809923484</v>
      </c>
      <c r="K102" s="132">
        <f t="shared" si="43"/>
        <v>1353.4267545873079</v>
      </c>
      <c r="L102" s="132">
        <f t="shared" si="44"/>
        <v>1369.2935267346327</v>
      </c>
      <c r="M102" s="132">
        <f t="shared" si="45"/>
        <v>1377.3118754381637</v>
      </c>
      <c r="N102" s="137">
        <f>VLOOKUP(A102,NSAmaksa_2021!$A$4:$N$138,12,FALSE)</f>
        <v>103.45</v>
      </c>
      <c r="O102" s="137">
        <f>VLOOKUP(A102,NSAmaksa_2021!$A$4:$N$138,14,FALSE)</f>
        <v>48.276666666666664</v>
      </c>
      <c r="P102" s="132">
        <f t="shared" ref="P102:P124" si="46">H102*$AB$5*$N102</f>
        <v>350029.9944051425</v>
      </c>
      <c r="Q102" s="132">
        <f t="shared" ref="Q102:Q124" si="47">I102*$AB$5*$N102</f>
        <v>354133.5383517443</v>
      </c>
      <c r="R102" s="132">
        <f t="shared" ref="R102:R124" si="48">J102*$AB$5*$N102</f>
        <v>356207.28378519509</v>
      </c>
      <c r="S102" s="132">
        <f t="shared" ref="S102:S124" si="49">H102*$AB$5*(1-$AB$6)*$N102+K102*$O102</f>
        <v>275356.92893204541</v>
      </c>
      <c r="T102" s="132">
        <f t="shared" ref="T102:T124" si="50">I102*$AB$5*(1-$AB$6)*$N102+L102*$O102</f>
        <v>278585.05017003888</v>
      </c>
      <c r="U102" s="132">
        <f t="shared" ref="U102:U124" si="51">J102*$AB$5*(1-$AB$6)*$N102+M102*$O102</f>
        <v>280216.39657768677</v>
      </c>
      <c r="V102" s="132">
        <f t="shared" si="38"/>
        <v>74673.065473097085</v>
      </c>
      <c r="W102" s="132">
        <f t="shared" si="39"/>
        <v>75548.488181705412</v>
      </c>
      <c r="X102" s="132">
        <f t="shared" si="40"/>
        <v>75990.88720750832</v>
      </c>
      <c r="Y102" s="132">
        <f t="shared" si="41"/>
        <v>226212.44086231082</v>
      </c>
      <c r="Z102" s="138">
        <f t="shared" si="42"/>
        <v>10.778576632046658</v>
      </c>
    </row>
    <row r="103" spans="1:26" outlineLevel="1" x14ac:dyDescent="0.3">
      <c r="A103" s="98" t="s">
        <v>98</v>
      </c>
      <c r="B103" s="132">
        <f>VLOOKUP(A103,Iedz_sk!$B$5:$Y$123,15,FALSE)</f>
        <v>7079</v>
      </c>
      <c r="C103" s="132">
        <f>VLOOKUP(A103,Iedz_sk!$B$5:$Y$123,16,FALSE)</f>
        <v>6951</v>
      </c>
      <c r="D103" s="132">
        <f>VLOOKUP(A103,Iedz_sk!$B$5:$Y$123,17,FALSE)</f>
        <v>6823</v>
      </c>
      <c r="E103" s="133">
        <f>VLOOKUP($A103,IKP!$Q$6:$AC$124,11,FALSE)</f>
        <v>91836.715314181172</v>
      </c>
      <c r="F103" s="133">
        <f>VLOOKUP($A103,IKP!$Q$6:$AC$124,12,FALSE)</f>
        <v>95068.384138131427</v>
      </c>
      <c r="G103" s="133">
        <f>VLOOKUP($A103,IKP!$Q$6:$AC$124,13,FALSE)</f>
        <v>97164.447247596312</v>
      </c>
      <c r="H103" s="132">
        <f>((-0.0000000006)*IKP!$J$5 + 0.0461)*E103</f>
        <v>2521.3738960433402</v>
      </c>
      <c r="I103" s="132">
        <f>((-0.0000000006)*IKP!$K$5 + 0.0461)*F103</f>
        <v>2519.6990377041475</v>
      </c>
      <c r="J103" s="132">
        <f>((-0.0000000006)*IKP!$L$5 + 0.0461)*G103</f>
        <v>2502.9001839461853</v>
      </c>
      <c r="K103" s="132">
        <f t="shared" si="43"/>
        <v>605.12973505040168</v>
      </c>
      <c r="L103" s="132">
        <f t="shared" si="44"/>
        <v>604.72776904899536</v>
      </c>
      <c r="M103" s="132">
        <f t="shared" si="45"/>
        <v>600.69604414708442</v>
      </c>
      <c r="N103" s="137">
        <f>VLOOKUP(A103,NSAmaksa_2021!$A$4:$N$138,12,FALSE)</f>
        <v>101.5795</v>
      </c>
      <c r="O103" s="137">
        <f>VLOOKUP(A103,NSAmaksa_2021!$A$4:$N$138,14,FALSE)</f>
        <v>47.403766666666662</v>
      </c>
      <c r="P103" s="132">
        <f t="shared" si="46"/>
        <v>153671.93980388067</v>
      </c>
      <c r="Q103" s="132">
        <f t="shared" si="47"/>
        <v>153569.86104028104</v>
      </c>
      <c r="R103" s="132">
        <f t="shared" si="48"/>
        <v>152546.00954109692</v>
      </c>
      <c r="S103" s="132">
        <f t="shared" si="49"/>
        <v>120888.59264571946</v>
      </c>
      <c r="T103" s="132">
        <f t="shared" si="50"/>
        <v>120808.29068502109</v>
      </c>
      <c r="U103" s="132">
        <f t="shared" si="51"/>
        <v>120002.86083899622</v>
      </c>
      <c r="V103" s="132">
        <f t="shared" si="38"/>
        <v>32783.34715816121</v>
      </c>
      <c r="W103" s="132">
        <f t="shared" si="39"/>
        <v>32761.570355259959</v>
      </c>
      <c r="X103" s="132">
        <f t="shared" si="40"/>
        <v>32543.148702100705</v>
      </c>
      <c r="Y103" s="132">
        <f t="shared" si="41"/>
        <v>98088.066215521874</v>
      </c>
      <c r="Z103" s="138">
        <f t="shared" si="42"/>
        <v>14.11391183396009</v>
      </c>
    </row>
    <row r="104" spans="1:26" outlineLevel="1" x14ac:dyDescent="0.3">
      <c r="A104" s="98" t="s">
        <v>99</v>
      </c>
      <c r="B104" s="132">
        <f>VLOOKUP(A104,Iedz_sk!$B$5:$Y$123,15,FALSE)</f>
        <v>2151</v>
      </c>
      <c r="C104" s="132">
        <f>VLOOKUP(A104,Iedz_sk!$B$5:$Y$123,16,FALSE)</f>
        <v>2135</v>
      </c>
      <c r="D104" s="132">
        <f>VLOOKUP(A104,Iedz_sk!$B$5:$Y$123,17,FALSE)</f>
        <v>2120</v>
      </c>
      <c r="E104" s="133">
        <f>VLOOKUP($A104,IKP!$Q$6:$AC$124,11,FALSE)</f>
        <v>27905.1807657584</v>
      </c>
      <c r="F104" s="133">
        <f>VLOOKUP($A104,IKP!$Q$6:$AC$124,12,FALSE)</f>
        <v>29200.25897495477</v>
      </c>
      <c r="G104" s="133">
        <f>VLOOKUP($A104,IKP!$Q$6:$AC$124,13,FALSE)</f>
        <v>30190.330963638309</v>
      </c>
      <c r="H104" s="132">
        <f>((-0.0000000006)*IKP!$J$5 + 0.0461)*E104</f>
        <v>766.13578900822506</v>
      </c>
      <c r="I104" s="132">
        <f>((-0.0000000006)*IKP!$K$5 + 0.0461)*F104</f>
        <v>773.92568630389223</v>
      </c>
      <c r="J104" s="132">
        <f>((-0.0000000006)*IKP!$L$5 + 0.0461)*G104</f>
        <v>777.68553275185582</v>
      </c>
      <c r="K104" s="132">
        <f t="shared" si="43"/>
        <v>183.87258936197401</v>
      </c>
      <c r="L104" s="132">
        <f t="shared" si="44"/>
        <v>185.74216471293417</v>
      </c>
      <c r="M104" s="132">
        <f t="shared" si="45"/>
        <v>186.64452786044538</v>
      </c>
      <c r="N104" s="137">
        <f>VLOOKUP(A104,NSAmaksa_2021!$A$4:$N$138,12,FALSE)</f>
        <v>94.6</v>
      </c>
      <c r="O104" s="137">
        <f>VLOOKUP(A104,NSAmaksa_2021!$A$4:$N$138,14,FALSE)</f>
        <v>44.146666666666668</v>
      </c>
      <c r="P104" s="132">
        <f t="shared" si="46"/>
        <v>43485.867384106852</v>
      </c>
      <c r="Q104" s="132">
        <f t="shared" si="47"/>
        <v>43928.021954608914</v>
      </c>
      <c r="R104" s="132">
        <f t="shared" si="48"/>
        <v>44141.430838995337</v>
      </c>
      <c r="S104" s="132">
        <f t="shared" si="49"/>
        <v>34208.882342164055</v>
      </c>
      <c r="T104" s="132">
        <f t="shared" si="50"/>
        <v>34556.710604292348</v>
      </c>
      <c r="U104" s="132">
        <f t="shared" si="51"/>
        <v>34724.59226000966</v>
      </c>
      <c r="V104" s="132">
        <f t="shared" si="38"/>
        <v>9276.9850419427967</v>
      </c>
      <c r="W104" s="132">
        <f t="shared" si="39"/>
        <v>9371.3113503165659</v>
      </c>
      <c r="X104" s="132">
        <f t="shared" si="40"/>
        <v>9416.8385789856766</v>
      </c>
      <c r="Y104" s="132">
        <f t="shared" si="41"/>
        <v>28065.134971245039</v>
      </c>
      <c r="Z104" s="138">
        <f t="shared" si="42"/>
        <v>13.144148765180219</v>
      </c>
    </row>
    <row r="105" spans="1:26" outlineLevel="1" x14ac:dyDescent="0.3">
      <c r="A105" s="98" t="s">
        <v>100</v>
      </c>
      <c r="B105" s="132">
        <f>VLOOKUP(A105,Iedz_sk!$B$5:$Y$123,15,FALSE)</f>
        <v>18081</v>
      </c>
      <c r="C105" s="132">
        <f>VLOOKUP(A105,Iedz_sk!$B$5:$Y$123,16,FALSE)</f>
        <v>18101</v>
      </c>
      <c r="D105" s="132">
        <f>VLOOKUP(A105,Iedz_sk!$B$5:$Y$123,17,FALSE)</f>
        <v>18121</v>
      </c>
      <c r="E105" s="133">
        <f>VLOOKUP($A105,IKP!$Q$6:$AC$124,11,FALSE)</f>
        <v>234566.97974229552</v>
      </c>
      <c r="F105" s="133">
        <f>VLOOKUP($A105,IKP!$Q$6:$AC$124,12,FALSE)</f>
        <v>247566.22374972192</v>
      </c>
      <c r="G105" s="133">
        <f>VLOOKUP($A105,IKP!$Q$6:$AC$124,13,FALSE)</f>
        <v>258056.12612834424</v>
      </c>
      <c r="H105" s="132">
        <f>((-0.0000000006)*IKP!$J$5 + 0.0461)*E105</f>
        <v>6440.0284523745786</v>
      </c>
      <c r="I105" s="132">
        <f>((-0.0000000006)*IKP!$K$5 + 0.0461)*F105</f>
        <v>6561.5123408837253</v>
      </c>
      <c r="J105" s="132">
        <f>((-0.0000000006)*IKP!$L$5 + 0.0461)*G105</f>
        <v>6647.3771410360287</v>
      </c>
      <c r="K105" s="132">
        <f t="shared" si="43"/>
        <v>1545.6068285698989</v>
      </c>
      <c r="L105" s="132">
        <f t="shared" si="44"/>
        <v>1574.7629618120941</v>
      </c>
      <c r="M105" s="132">
        <f t="shared" si="45"/>
        <v>1595.3705138486469</v>
      </c>
      <c r="N105" s="137">
        <f>VLOOKUP(A105,NSAmaksa_2021!$A$4:$N$138,12,FALSE)</f>
        <v>103.6</v>
      </c>
      <c r="O105" s="137">
        <f>VLOOKUP(A105,NSAmaksa_2021!$A$4:$N$138,14,FALSE)</f>
        <v>57.8</v>
      </c>
      <c r="P105" s="132">
        <f t="shared" si="46"/>
        <v>400312.16859960376</v>
      </c>
      <c r="Q105" s="132">
        <f t="shared" si="47"/>
        <v>407863.60710933234</v>
      </c>
      <c r="R105" s="132">
        <f t="shared" si="48"/>
        <v>413200.96308679949</v>
      </c>
      <c r="S105" s="132">
        <f t="shared" si="49"/>
        <v>329523.37585110241</v>
      </c>
      <c r="T105" s="132">
        <f t="shared" si="50"/>
        <v>335739.4634583384</v>
      </c>
      <c r="U105" s="132">
        <f t="shared" si="51"/>
        <v>340132.99355253146</v>
      </c>
      <c r="V105" s="132">
        <f t="shared" si="38"/>
        <v>70788.79274850135</v>
      </c>
      <c r="W105" s="132">
        <f t="shared" si="39"/>
        <v>72124.143650993938</v>
      </c>
      <c r="X105" s="132">
        <f t="shared" si="40"/>
        <v>73067.969534268021</v>
      </c>
      <c r="Y105" s="132">
        <f t="shared" si="41"/>
        <v>215980.90593376331</v>
      </c>
      <c r="Z105" s="138">
        <f t="shared" si="42"/>
        <v>11.931858088899066</v>
      </c>
    </row>
    <row r="106" spans="1:26" outlineLevel="1" x14ac:dyDescent="0.3">
      <c r="A106" s="98" t="s">
        <v>101</v>
      </c>
      <c r="B106" s="132">
        <f>VLOOKUP(A106,Iedz_sk!$B$5:$Y$123,15,FALSE)</f>
        <v>3417</v>
      </c>
      <c r="C106" s="132">
        <f>VLOOKUP(A106,Iedz_sk!$B$5:$Y$123,16,FALSE)</f>
        <v>3351</v>
      </c>
      <c r="D106" s="132">
        <f>VLOOKUP(A106,Iedz_sk!$B$5:$Y$123,17,FALSE)</f>
        <v>3285</v>
      </c>
      <c r="E106" s="133">
        <f>VLOOKUP($A106,IKP!$Q$6:$AC$124,11,FALSE)</f>
        <v>29161.365884708048</v>
      </c>
      <c r="F106" s="133">
        <f>VLOOKUP($A106,IKP!$Q$6:$AC$124,12,FALSE)</f>
        <v>30553.611874089613</v>
      </c>
      <c r="G106" s="133">
        <f>VLOOKUP($A106,IKP!$Q$6:$AC$124,13,FALSE)</f>
        <v>31612.957728948244</v>
      </c>
      <c r="H106" s="132">
        <f>((-0.0000000006)*IKP!$J$5 + 0.0461)*E106</f>
        <v>800.6243087324126</v>
      </c>
      <c r="I106" s="132">
        <f>((-0.0000000006)*IKP!$K$5 + 0.0461)*F106</f>
        <v>809.79504527679217</v>
      </c>
      <c r="J106" s="132">
        <f>((-0.0000000006)*IKP!$L$5 + 0.0461)*G106</f>
        <v>814.33157864050872</v>
      </c>
      <c r="K106" s="132">
        <f t="shared" si="43"/>
        <v>192.14983409577903</v>
      </c>
      <c r="L106" s="132">
        <f t="shared" si="44"/>
        <v>194.35081086643012</v>
      </c>
      <c r="M106" s="132">
        <f t="shared" si="45"/>
        <v>195.43957887372213</v>
      </c>
      <c r="N106" s="137">
        <f>VLOOKUP(A106,NSAmaksa_2021!$A$4:$N$138,12,FALSE)</f>
        <v>83.005999999999986</v>
      </c>
      <c r="O106" s="137">
        <f>VLOOKUP(A106,NSAmaksa_2021!$A$4:$N$138,14,FALSE)</f>
        <v>38.736133333333328</v>
      </c>
      <c r="P106" s="132">
        <f t="shared" si="46"/>
        <v>39873.972822385578</v>
      </c>
      <c r="Q106" s="132">
        <f t="shared" si="47"/>
        <v>40330.708516947234</v>
      </c>
      <c r="R106" s="132">
        <f t="shared" si="48"/>
        <v>40556.644209980426</v>
      </c>
      <c r="S106" s="132">
        <f t="shared" si="49"/>
        <v>31367.525286943317</v>
      </c>
      <c r="T106" s="132">
        <f t="shared" si="50"/>
        <v>31726.824033331828</v>
      </c>
      <c r="U106" s="132">
        <f t="shared" si="51"/>
        <v>31904.560111851271</v>
      </c>
      <c r="V106" s="132">
        <f t="shared" si="38"/>
        <v>8506.4475354422611</v>
      </c>
      <c r="W106" s="132">
        <f t="shared" si="39"/>
        <v>8603.8844836154058</v>
      </c>
      <c r="X106" s="132">
        <f t="shared" si="40"/>
        <v>8652.0840981291549</v>
      </c>
      <c r="Y106" s="132">
        <f t="shared" si="41"/>
        <v>25762.416117186822</v>
      </c>
      <c r="Z106" s="138">
        <f t="shared" si="42"/>
        <v>7.6908219349370848</v>
      </c>
    </row>
    <row r="107" spans="1:26" outlineLevel="1" x14ac:dyDescent="0.3">
      <c r="A107" s="98" t="s">
        <v>102</v>
      </c>
      <c r="B107" s="132">
        <f>VLOOKUP(A107,Iedz_sk!$B$5:$Y$123,15,FALSE)</f>
        <v>4526</v>
      </c>
      <c r="C107" s="132">
        <f>VLOOKUP(A107,Iedz_sk!$B$5:$Y$123,16,FALSE)</f>
        <v>4445</v>
      </c>
      <c r="D107" s="132">
        <f>VLOOKUP(A107,Iedz_sk!$B$5:$Y$123,17,FALSE)</f>
        <v>4365</v>
      </c>
      <c r="E107" s="133">
        <f>VLOOKUP($A107,IKP!$Q$6:$AC$124,11,FALSE)</f>
        <v>43364.354747316575</v>
      </c>
      <c r="F107" s="133">
        <f>VLOOKUP($A107,IKP!$Q$6:$AC$124,12,FALSE)</f>
        <v>45573.035501831844</v>
      </c>
      <c r="G107" s="133">
        <f>VLOOKUP($A107,IKP!$Q$6:$AC$124,13,FALSE)</f>
        <v>47312.162668114252</v>
      </c>
      <c r="H107" s="132">
        <f>((-0.0000000006)*IKP!$J$5 + 0.0461)*E107</f>
        <v>1190.5668849826936</v>
      </c>
      <c r="I107" s="132">
        <f>((-0.0000000006)*IKP!$K$5 + 0.0461)*F107</f>
        <v>1207.8708893629423</v>
      </c>
      <c r="J107" s="132">
        <f>((-0.0000000006)*IKP!$L$5 + 0.0461)*G107</f>
        <v>1218.7340534461225</v>
      </c>
      <c r="K107" s="132">
        <f t="shared" si="43"/>
        <v>285.73605239584646</v>
      </c>
      <c r="L107" s="132">
        <f t="shared" si="44"/>
        <v>289.88901344710615</v>
      </c>
      <c r="M107" s="132">
        <f t="shared" si="45"/>
        <v>292.49617282706942</v>
      </c>
      <c r="N107" s="137">
        <f>VLOOKUP(A107,NSAmaksa_2021!$A$4:$N$138,12,FALSE)</f>
        <v>107.35</v>
      </c>
      <c r="O107" s="137">
        <f>VLOOKUP(A107,NSAmaksa_2021!$A$4:$N$138,14,FALSE)</f>
        <v>50.096666666666664</v>
      </c>
      <c r="P107" s="132">
        <f t="shared" si="46"/>
        <v>76684.413061735293</v>
      </c>
      <c r="Q107" s="132">
        <f t="shared" si="47"/>
        <v>77798.963983867114</v>
      </c>
      <c r="R107" s="132">
        <f t="shared" si="48"/>
        <v>78498.660382464746</v>
      </c>
      <c r="S107" s="132">
        <f t="shared" si="49"/>
        <v>60325.071608565093</v>
      </c>
      <c r="T107" s="132">
        <f t="shared" si="50"/>
        <v>61201.851667308802</v>
      </c>
      <c r="U107" s="132">
        <f t="shared" si="51"/>
        <v>61752.279500872268</v>
      </c>
      <c r="V107" s="132">
        <f t="shared" si="38"/>
        <v>16359.3414531702</v>
      </c>
      <c r="W107" s="132">
        <f t="shared" si="39"/>
        <v>16597.112316558312</v>
      </c>
      <c r="X107" s="132">
        <f t="shared" si="40"/>
        <v>16746.380881592479</v>
      </c>
      <c r="Y107" s="132">
        <f t="shared" si="41"/>
        <v>49702.834651320991</v>
      </c>
      <c r="Z107" s="138">
        <f t="shared" si="42"/>
        <v>11.184922198648707</v>
      </c>
    </row>
    <row r="108" spans="1:26" outlineLevel="1" x14ac:dyDescent="0.3">
      <c r="A108" s="98" t="s">
        <v>103</v>
      </c>
      <c r="B108" s="132">
        <f>VLOOKUP(A108,Iedz_sk!$B$5:$Y$123,15,FALSE)</f>
        <v>11945</v>
      </c>
      <c r="C108" s="132">
        <f>VLOOKUP(A108,Iedz_sk!$B$5:$Y$123,16,FALSE)</f>
        <v>11724</v>
      </c>
      <c r="D108" s="132">
        <f>VLOOKUP(A108,Iedz_sk!$B$5:$Y$123,17,FALSE)</f>
        <v>11503</v>
      </c>
      <c r="E108" s="133">
        <f>VLOOKUP($A108,IKP!$Q$6:$AC$124,11,FALSE)</f>
        <v>112800.07406026185</v>
      </c>
      <c r="F108" s="133">
        <f>VLOOKUP($A108,IKP!$Q$6:$AC$124,12,FALSE)</f>
        <v>119118.6252588038</v>
      </c>
      <c r="G108" s="133">
        <f>VLOOKUP($A108,IKP!$Q$6:$AC$124,13,FALSE)</f>
        <v>124259.28080294872</v>
      </c>
      <c r="H108" s="132">
        <f>((-0.0000000006)*IKP!$J$5 + 0.0461)*E108</f>
        <v>3096.9221975579708</v>
      </c>
      <c r="I108" s="132">
        <f>((-0.0000000006)*IKP!$K$5 + 0.0461)*F108</f>
        <v>3157.1282941040658</v>
      </c>
      <c r="J108" s="132">
        <f>((-0.0000000006)*IKP!$L$5 + 0.0461)*G108</f>
        <v>3200.8474867993946</v>
      </c>
      <c r="K108" s="132">
        <f t="shared" si="43"/>
        <v>743.26132741391302</v>
      </c>
      <c r="L108" s="132">
        <f t="shared" si="44"/>
        <v>757.71079058497583</v>
      </c>
      <c r="M108" s="132">
        <f t="shared" si="45"/>
        <v>768.20339683185477</v>
      </c>
      <c r="N108" s="137">
        <f>VLOOKUP(A108,NSAmaksa_2021!$A$4:$N$138,12,FALSE)</f>
        <v>123.84350000000001</v>
      </c>
      <c r="O108" s="137">
        <f>VLOOKUP(A108,NSAmaksa_2021!$A$4:$N$138,14,FALSE)</f>
        <v>57.793633333333325</v>
      </c>
      <c r="P108" s="132">
        <f t="shared" si="46"/>
        <v>230120.21050396233</v>
      </c>
      <c r="Q108" s="132">
        <f t="shared" si="47"/>
        <v>234593.89073452613</v>
      </c>
      <c r="R108" s="132">
        <f t="shared" si="48"/>
        <v>237842.49343886451</v>
      </c>
      <c r="S108" s="132">
        <f t="shared" si="49"/>
        <v>181027.89892978367</v>
      </c>
      <c r="T108" s="132">
        <f t="shared" si="50"/>
        <v>184547.19404449387</v>
      </c>
      <c r="U108" s="132">
        <f t="shared" si="51"/>
        <v>187102.76150524005</v>
      </c>
      <c r="V108" s="132">
        <f t="shared" si="38"/>
        <v>49092.311574178661</v>
      </c>
      <c r="W108" s="132">
        <f t="shared" si="39"/>
        <v>50046.696690032259</v>
      </c>
      <c r="X108" s="132">
        <f t="shared" si="40"/>
        <v>50739.731933624455</v>
      </c>
      <c r="Y108" s="132">
        <f t="shared" si="41"/>
        <v>149878.74019783537</v>
      </c>
      <c r="Z108" s="138">
        <f t="shared" si="42"/>
        <v>12.789601798927485</v>
      </c>
    </row>
    <row r="109" spans="1:26" outlineLevel="1" x14ac:dyDescent="0.3">
      <c r="A109" s="98" t="s">
        <v>104</v>
      </c>
      <c r="B109" s="132">
        <f>VLOOKUP(A109,Iedz_sk!$B$5:$Y$123,15,FALSE)</f>
        <v>12201</v>
      </c>
      <c r="C109" s="132">
        <f>VLOOKUP(A109,Iedz_sk!$B$5:$Y$123,16,FALSE)</f>
        <v>12096</v>
      </c>
      <c r="D109" s="132">
        <f>VLOOKUP(A109,Iedz_sk!$B$5:$Y$123,17,FALSE)</f>
        <v>11992</v>
      </c>
      <c r="E109" s="133">
        <f>VLOOKUP($A109,IKP!$Q$6:$AC$124,11,FALSE)</f>
        <v>158285.03511065469</v>
      </c>
      <c r="F109" s="133">
        <f>VLOOKUP($A109,IKP!$Q$6:$AC$124,12,FALSE)</f>
        <v>165436.22134007161</v>
      </c>
      <c r="G109" s="133">
        <f>VLOOKUP($A109,IKP!$Q$6:$AC$124,13,FALSE)</f>
        <v>170774.74005469368</v>
      </c>
      <c r="H109" s="132">
        <f>((-0.0000000006)*IKP!$J$5 + 0.0461)*E109</f>
        <v>4345.7102564804063</v>
      </c>
      <c r="I109" s="132">
        <f>((-0.0000000006)*IKP!$K$5 + 0.0461)*F109</f>
        <v>4384.7330686331989</v>
      </c>
      <c r="J109" s="132">
        <f>((-0.0000000006)*IKP!$L$5 + 0.0461)*G109</f>
        <v>4399.0589192265361</v>
      </c>
      <c r="K109" s="132">
        <f t="shared" si="43"/>
        <v>1042.9704615552976</v>
      </c>
      <c r="L109" s="132">
        <f t="shared" si="44"/>
        <v>1052.3359364719677</v>
      </c>
      <c r="M109" s="132">
        <f t="shared" si="45"/>
        <v>1055.7741406143687</v>
      </c>
      <c r="N109" s="137">
        <f>VLOOKUP(A109,NSAmaksa_2021!$A$4:$N$138,12,FALSE)</f>
        <v>93.45</v>
      </c>
      <c r="O109" s="137">
        <f>VLOOKUP(A109,NSAmaksa_2021!$A$4:$N$138,14,FALSE)</f>
        <v>43.61</v>
      </c>
      <c r="P109" s="132">
        <f t="shared" si="46"/>
        <v>243663.97408085639</v>
      </c>
      <c r="Q109" s="132">
        <f t="shared" si="47"/>
        <v>245851.98315826347</v>
      </c>
      <c r="R109" s="132">
        <f t="shared" si="48"/>
        <v>246655.23360103188</v>
      </c>
      <c r="S109" s="132">
        <f t="shared" si="49"/>
        <v>191682.32627694035</v>
      </c>
      <c r="T109" s="132">
        <f t="shared" si="50"/>
        <v>193403.56008450058</v>
      </c>
      <c r="U109" s="132">
        <f t="shared" si="51"/>
        <v>194035.45043281175</v>
      </c>
      <c r="V109" s="132">
        <f t="shared" si="38"/>
        <v>51981.647803916043</v>
      </c>
      <c r="W109" s="132">
        <f t="shared" si="39"/>
        <v>52448.423073762882</v>
      </c>
      <c r="X109" s="132">
        <f t="shared" si="40"/>
        <v>52619.783168220136</v>
      </c>
      <c r="Y109" s="132">
        <f t="shared" si="41"/>
        <v>157049.85404589906</v>
      </c>
      <c r="Z109" s="138">
        <f t="shared" si="42"/>
        <v>12.984362601544312</v>
      </c>
    </row>
    <row r="110" spans="1:26" outlineLevel="1" x14ac:dyDescent="0.3">
      <c r="A110" s="98" t="s">
        <v>105</v>
      </c>
      <c r="B110" s="132">
        <f>VLOOKUP(A110,Iedz_sk!$B$5:$Y$123,15,FALSE)</f>
        <v>2892</v>
      </c>
      <c r="C110" s="132">
        <f>VLOOKUP(A110,Iedz_sk!$B$5:$Y$123,16,FALSE)</f>
        <v>2758</v>
      </c>
      <c r="D110" s="132">
        <f>VLOOKUP(A110,Iedz_sk!$B$5:$Y$123,17,FALSE)</f>
        <v>2624</v>
      </c>
      <c r="E110" s="133">
        <f>VLOOKUP($A110,IKP!$Q$6:$AC$124,11,FALSE)</f>
        <v>27309.988629742758</v>
      </c>
      <c r="F110" s="133">
        <f>VLOOKUP($A110,IKP!$Q$6:$AC$124,12,FALSE)</f>
        <v>28021.935215266196</v>
      </c>
      <c r="G110" s="133">
        <f>VLOOKUP($A110,IKP!$Q$6:$AC$124,13,FALSE)</f>
        <v>28345.331898368899</v>
      </c>
      <c r="H110" s="132">
        <f>((-0.0000000006)*IKP!$J$5 + 0.0461)*E110</f>
        <v>749.79480915342413</v>
      </c>
      <c r="I110" s="132">
        <f>((-0.0000000006)*IKP!$K$5 + 0.0461)*F110</f>
        <v>742.69531176552482</v>
      </c>
      <c r="J110" s="132">
        <f>((-0.0000000006)*IKP!$L$5 + 0.0461)*G110</f>
        <v>730.15941974803195</v>
      </c>
      <c r="K110" s="132">
        <f t="shared" si="43"/>
        <v>179.9507541968218</v>
      </c>
      <c r="L110" s="132">
        <f t="shared" si="44"/>
        <v>178.24687482372596</v>
      </c>
      <c r="M110" s="132">
        <f t="shared" si="45"/>
        <v>175.23826073952768</v>
      </c>
      <c r="N110" s="137">
        <f>VLOOKUP(A110,NSAmaksa_2021!$A$4:$N$138,12,FALSE)</f>
        <v>123.84350000000001</v>
      </c>
      <c r="O110" s="137">
        <f>VLOOKUP(A110,NSAmaksa_2021!$A$4:$N$138,14,FALSE)</f>
        <v>57.793633333333325</v>
      </c>
      <c r="P110" s="132">
        <f t="shared" si="46"/>
        <v>55714.32806843525</v>
      </c>
      <c r="Q110" s="132">
        <f t="shared" si="47"/>
        <v>55186.792105580265</v>
      </c>
      <c r="R110" s="132">
        <f t="shared" si="48"/>
        <v>54255.29885973924</v>
      </c>
      <c r="S110" s="132">
        <f t="shared" si="49"/>
        <v>43828.604747169054</v>
      </c>
      <c r="T110" s="132">
        <f t="shared" si="50"/>
        <v>43413.609789723138</v>
      </c>
      <c r="U110" s="132">
        <f t="shared" si="51"/>
        <v>42680.835102994868</v>
      </c>
      <c r="V110" s="132">
        <f t="shared" si="38"/>
        <v>11885.723321266196</v>
      </c>
      <c r="W110" s="132">
        <f t="shared" si="39"/>
        <v>11773.182315857128</v>
      </c>
      <c r="X110" s="132">
        <f t="shared" si="40"/>
        <v>11574.463756744371</v>
      </c>
      <c r="Y110" s="132">
        <f t="shared" si="41"/>
        <v>35233.369393867695</v>
      </c>
      <c r="Z110" s="138">
        <f t="shared" si="42"/>
        <v>12.789601798927485</v>
      </c>
    </row>
    <row r="111" spans="1:26" outlineLevel="1" x14ac:dyDescent="0.3">
      <c r="A111" s="98" t="s">
        <v>106</v>
      </c>
      <c r="B111" s="132">
        <f>VLOOKUP(A111,Iedz_sk!$B$5:$Y$123,15,FALSE)</f>
        <v>27391</v>
      </c>
      <c r="C111" s="132">
        <f>VLOOKUP(A111,Iedz_sk!$B$5:$Y$123,16,FALSE)</f>
        <v>26899</v>
      </c>
      <c r="D111" s="132">
        <f>VLOOKUP(A111,Iedz_sk!$B$5:$Y$123,17,FALSE)</f>
        <v>26407</v>
      </c>
      <c r="E111" s="133">
        <f>VLOOKUP($A111,IKP!$Q$6:$AC$124,11,FALSE)</f>
        <v>262437.70236052771</v>
      </c>
      <c r="F111" s="133">
        <f>VLOOKUP($A111,IKP!$Q$6:$AC$124,12,FALSE)</f>
        <v>275786.07018307643</v>
      </c>
      <c r="G111" s="133">
        <f>VLOOKUP($A111,IKP!$Q$6:$AC$124,13,FALSE)</f>
        <v>286225.03541280481</v>
      </c>
      <c r="H111" s="132">
        <f>((-0.0000000006)*IKP!$J$5 + 0.0461)*E111</f>
        <v>7205.2181941142208</v>
      </c>
      <c r="I111" s="132">
        <f>((-0.0000000006)*IKP!$K$5 + 0.0461)*F111</f>
        <v>7309.4531052809416</v>
      </c>
      <c r="J111" s="132">
        <f>((-0.0000000006)*IKP!$L$5 + 0.0461)*G111</f>
        <v>7372.9920158881459</v>
      </c>
      <c r="K111" s="132">
        <f t="shared" si="43"/>
        <v>1729.252366587413</v>
      </c>
      <c r="L111" s="132">
        <f t="shared" si="44"/>
        <v>1754.2687452674261</v>
      </c>
      <c r="M111" s="132">
        <f t="shared" si="45"/>
        <v>1769.518083813155</v>
      </c>
      <c r="N111" s="137">
        <f>VLOOKUP(A111,NSAmaksa_2021!$A$4:$N$138,12,FALSE)</f>
        <v>86.05</v>
      </c>
      <c r="O111" s="137">
        <f>VLOOKUP(A111,NSAmaksa_2021!$A$4:$N$138,14,FALSE)</f>
        <v>63.533333333333331</v>
      </c>
      <c r="P111" s="132">
        <f t="shared" si="46"/>
        <v>372005.41536211723</v>
      </c>
      <c r="Q111" s="132">
        <f t="shared" si="47"/>
        <v>377387.06382565497</v>
      </c>
      <c r="R111" s="132">
        <f t="shared" si="48"/>
        <v>380667.57778030494</v>
      </c>
      <c r="S111" s="132">
        <f t="shared" si="49"/>
        <v>333068.41624112392</v>
      </c>
      <c r="T111" s="132">
        <f t="shared" si="50"/>
        <v>337886.77924471674</v>
      </c>
      <c r="U111" s="132">
        <f t="shared" si="51"/>
        <v>340823.92892644543</v>
      </c>
      <c r="V111" s="132">
        <f t="shared" si="38"/>
        <v>38936.999120993307</v>
      </c>
      <c r="W111" s="132">
        <f t="shared" si="39"/>
        <v>39500.284580938227</v>
      </c>
      <c r="X111" s="132">
        <f t="shared" si="40"/>
        <v>39843.648853859515</v>
      </c>
      <c r="Y111" s="132">
        <f t="shared" si="41"/>
        <v>118280.93255579105</v>
      </c>
      <c r="Z111" s="138">
        <f t="shared" si="42"/>
        <v>4.3988209974308363</v>
      </c>
    </row>
    <row r="112" spans="1:26" outlineLevel="1" x14ac:dyDescent="0.3">
      <c r="A112" s="98" t="s">
        <v>107</v>
      </c>
      <c r="B112" s="132">
        <f>VLOOKUP(A112,Iedz_sk!$B$5:$Y$123,15,FALSE)</f>
        <v>3273</v>
      </c>
      <c r="C112" s="132">
        <f>VLOOKUP(A112,Iedz_sk!$B$5:$Y$123,16,FALSE)</f>
        <v>3233</v>
      </c>
      <c r="D112" s="132">
        <f>VLOOKUP(A112,Iedz_sk!$B$5:$Y$123,17,FALSE)</f>
        <v>3192</v>
      </c>
      <c r="E112" s="133">
        <f>VLOOKUP($A112,IKP!$Q$6:$AC$124,11,FALSE)</f>
        <v>27932.440895712447</v>
      </c>
      <c r="F112" s="133">
        <f>VLOOKUP($A112,IKP!$Q$6:$AC$124,12,FALSE)</f>
        <v>29477.71626049887</v>
      </c>
      <c r="G112" s="133">
        <f>VLOOKUP($A112,IKP!$Q$6:$AC$124,13,FALSE)</f>
        <v>30717.979016987152</v>
      </c>
      <c r="H112" s="132">
        <f>((-0.0000000006)*IKP!$J$5 + 0.0461)*E112</f>
        <v>766.88421494913268</v>
      </c>
      <c r="I112" s="132">
        <f>((-0.0000000006)*IKP!$K$5 + 0.0461)*F112</f>
        <v>781.27943341685136</v>
      </c>
      <c r="J112" s="132">
        <f>((-0.0000000006)*IKP!$L$5 + 0.0461)*G112</f>
        <v>791.27744262420208</v>
      </c>
      <c r="K112" s="132">
        <f t="shared" si="43"/>
        <v>184.05221158779185</v>
      </c>
      <c r="L112" s="132">
        <f t="shared" si="44"/>
        <v>187.50706402004434</v>
      </c>
      <c r="M112" s="132">
        <f t="shared" si="45"/>
        <v>189.90658622980848</v>
      </c>
      <c r="N112" s="137">
        <f>VLOOKUP(A112,NSAmaksa_2021!$A$4:$N$138,12,FALSE)</f>
        <v>99.4</v>
      </c>
      <c r="O112" s="137">
        <f>VLOOKUP(A112,NSAmaksa_2021!$A$4:$N$138,14,FALSE)</f>
        <v>46.386666666666663</v>
      </c>
      <c r="P112" s="132">
        <f t="shared" si="46"/>
        <v>45736.974579566275</v>
      </c>
      <c r="Q112" s="132">
        <f t="shared" si="47"/>
        <v>46595.505408981015</v>
      </c>
      <c r="R112" s="132">
        <f t="shared" si="48"/>
        <v>47191.786678107412</v>
      </c>
      <c r="S112" s="132">
        <f t="shared" si="49"/>
        <v>35979.753335925467</v>
      </c>
      <c r="T112" s="132">
        <f t="shared" si="50"/>
        <v>36655.130921731732</v>
      </c>
      <c r="U112" s="132">
        <f t="shared" si="51"/>
        <v>37124.205520111165</v>
      </c>
      <c r="V112" s="132">
        <f t="shared" si="38"/>
        <v>9757.2212436408081</v>
      </c>
      <c r="W112" s="132">
        <f t="shared" si="39"/>
        <v>9940.3744872492825</v>
      </c>
      <c r="X112" s="132">
        <f t="shared" si="40"/>
        <v>10067.581157996246</v>
      </c>
      <c r="Y112" s="132">
        <f t="shared" si="41"/>
        <v>29765.176888886337</v>
      </c>
      <c r="Z112" s="138">
        <f t="shared" si="42"/>
        <v>9.2097884530364862</v>
      </c>
    </row>
    <row r="113" spans="1:26" outlineLevel="1" x14ac:dyDescent="0.3">
      <c r="A113" s="98" t="s">
        <v>108</v>
      </c>
      <c r="B113" s="132">
        <f>VLOOKUP(A113,Iedz_sk!$B$5:$Y$123,15,FALSE)</f>
        <v>27614</v>
      </c>
      <c r="C113" s="132">
        <f>VLOOKUP(A113,Iedz_sk!$B$5:$Y$123,16,FALSE)</f>
        <v>27160</v>
      </c>
      <c r="D113" s="132">
        <f>VLOOKUP(A113,Iedz_sk!$B$5:$Y$123,17,FALSE)</f>
        <v>26707</v>
      </c>
      <c r="E113" s="133">
        <f>VLOOKUP($A113,IKP!$Q$6:$AC$124,11,FALSE)</f>
        <v>358239.73113233491</v>
      </c>
      <c r="F113" s="133">
        <f>VLOOKUP($A113,IKP!$Q$6:$AC$124,12,FALSE)</f>
        <v>371465.58958303119</v>
      </c>
      <c r="G113" s="133">
        <f>VLOOKUP($A113,IKP!$Q$6:$AC$124,13,FALSE)</f>
        <v>380326.96653107938</v>
      </c>
      <c r="H113" s="132">
        <f>((-0.0000000006)*IKP!$J$5 + 0.0461)*E113</f>
        <v>9835.4596362961984</v>
      </c>
      <c r="I113" s="132">
        <f>((-0.0000000006)*IKP!$K$5 + 0.0461)*F113</f>
        <v>9845.3497142921369</v>
      </c>
      <c r="J113" s="132">
        <f>((-0.0000000006)*IKP!$L$5 + 0.0461)*G113</f>
        <v>9797.0035486810448</v>
      </c>
      <c r="K113" s="132">
        <f t="shared" si="43"/>
        <v>2360.5103127110879</v>
      </c>
      <c r="L113" s="132">
        <f t="shared" si="44"/>
        <v>2362.8839314301131</v>
      </c>
      <c r="M113" s="132">
        <f t="shared" si="45"/>
        <v>2351.2808516834507</v>
      </c>
      <c r="N113" s="137">
        <f>VLOOKUP(A113,NSAmaksa_2021!$A$4:$N$138,12,FALSE)</f>
        <v>86.05</v>
      </c>
      <c r="O113" s="137">
        <f>VLOOKUP(A113,NSAmaksa_2021!$A$4:$N$138,14,FALSE)</f>
        <v>63.533333333333331</v>
      </c>
      <c r="P113" s="132">
        <f t="shared" si="46"/>
        <v>507804.78102197271</v>
      </c>
      <c r="Q113" s="132">
        <f t="shared" si="47"/>
        <v>508315.40574890299</v>
      </c>
      <c r="R113" s="132">
        <f t="shared" si="48"/>
        <v>505819.29321840231</v>
      </c>
      <c r="S113" s="132">
        <f t="shared" si="49"/>
        <v>454653.95714742807</v>
      </c>
      <c r="T113" s="132">
        <f t="shared" si="50"/>
        <v>455111.13589286827</v>
      </c>
      <c r="U113" s="132">
        <f t="shared" si="51"/>
        <v>452876.28604132996</v>
      </c>
      <c r="V113" s="132">
        <f t="shared" si="38"/>
        <v>53150.823874544643</v>
      </c>
      <c r="W113" s="132">
        <f t="shared" si="39"/>
        <v>53204.26985603472</v>
      </c>
      <c r="X113" s="132">
        <f t="shared" si="40"/>
        <v>52943.007177072344</v>
      </c>
      <c r="Y113" s="132">
        <f t="shared" si="41"/>
        <v>159298.10090765171</v>
      </c>
      <c r="Z113" s="138">
        <f t="shared" si="42"/>
        <v>5.8660626921770866</v>
      </c>
    </row>
    <row r="114" spans="1:26" outlineLevel="1" x14ac:dyDescent="0.3">
      <c r="A114" s="98" t="s">
        <v>109</v>
      </c>
      <c r="B114" s="132">
        <f>VLOOKUP(A114,Iedz_sk!$B$5:$Y$123,15,FALSE)</f>
        <v>2216</v>
      </c>
      <c r="C114" s="132">
        <f>VLOOKUP(A114,Iedz_sk!$B$5:$Y$123,16,FALSE)</f>
        <v>2181</v>
      </c>
      <c r="D114" s="132">
        <f>VLOOKUP(A114,Iedz_sk!$B$5:$Y$123,17,FALSE)</f>
        <v>2145</v>
      </c>
      <c r="E114" s="133">
        <f>VLOOKUP($A114,IKP!$Q$6:$AC$124,11,FALSE)</f>
        <v>21231.862598332642</v>
      </c>
      <c r="F114" s="133">
        <f>VLOOKUP($A114,IKP!$Q$6:$AC$124,12,FALSE)</f>
        <v>22361.032717546739</v>
      </c>
      <c r="G114" s="133">
        <f>VLOOKUP($A114,IKP!$Q$6:$AC$124,13,FALSE)</f>
        <v>23249.619455465079</v>
      </c>
      <c r="H114" s="132">
        <f>((-0.0000000006)*IKP!$J$5 + 0.0461)*E114</f>
        <v>582.9200656477351</v>
      </c>
      <c r="I114" s="132">
        <f>((-0.0000000006)*IKP!$K$5 + 0.0461)*F114</f>
        <v>592.65835988764388</v>
      </c>
      <c r="J114" s="132">
        <f>((-0.0000000006)*IKP!$L$5 + 0.0461)*G114</f>
        <v>598.89680289620458</v>
      </c>
      <c r="K114" s="132">
        <f t="shared" si="43"/>
        <v>139.90081575545642</v>
      </c>
      <c r="L114" s="132">
        <f t="shared" si="44"/>
        <v>142.23800637303455</v>
      </c>
      <c r="M114" s="132">
        <f t="shared" si="45"/>
        <v>143.73523269508908</v>
      </c>
      <c r="N114" s="137">
        <f>VLOOKUP(A114,NSAmaksa_2021!$A$4:$N$138,12,FALSE)</f>
        <v>85.25</v>
      </c>
      <c r="O114" s="137">
        <f>VLOOKUP(A114,NSAmaksa_2021!$A$4:$N$138,14,FALSE)</f>
        <v>39.783333333333331</v>
      </c>
      <c r="P114" s="132">
        <f t="shared" si="46"/>
        <v>29816.361357881648</v>
      </c>
      <c r="Q114" s="132">
        <f t="shared" si="47"/>
        <v>30314.475108252984</v>
      </c>
      <c r="R114" s="132">
        <f t="shared" si="48"/>
        <v>30633.571468140864</v>
      </c>
      <c r="S114" s="132">
        <f t="shared" si="49"/>
        <v>23455.537601533561</v>
      </c>
      <c r="T114" s="132">
        <f t="shared" si="50"/>
        <v>23847.387085159015</v>
      </c>
      <c r="U114" s="132">
        <f t="shared" si="51"/>
        <v>24098.409554937476</v>
      </c>
      <c r="V114" s="132">
        <f t="shared" si="38"/>
        <v>6360.823756348087</v>
      </c>
      <c r="W114" s="132">
        <f t="shared" si="39"/>
        <v>6467.0880230939692</v>
      </c>
      <c r="X114" s="132">
        <f t="shared" si="40"/>
        <v>6535.1619132033884</v>
      </c>
      <c r="Y114" s="132">
        <f t="shared" si="41"/>
        <v>19363.073692645445</v>
      </c>
      <c r="Z114" s="138">
        <f t="shared" si="42"/>
        <v>8.8822973212370986</v>
      </c>
    </row>
    <row r="115" spans="1:26" outlineLevel="1" x14ac:dyDescent="0.3">
      <c r="A115" s="98" t="s">
        <v>110</v>
      </c>
      <c r="B115" s="132">
        <f>VLOOKUP(A115,Iedz_sk!$B$5:$Y$123,15,FALSE)</f>
        <v>7596</v>
      </c>
      <c r="C115" s="132">
        <f>VLOOKUP(A115,Iedz_sk!$B$5:$Y$123,16,FALSE)</f>
        <v>7345</v>
      </c>
      <c r="D115" s="132">
        <f>VLOOKUP(A115,Iedz_sk!$B$5:$Y$123,17,FALSE)</f>
        <v>7094</v>
      </c>
      <c r="E115" s="133">
        <f>VLOOKUP($A115,IKP!$Q$6:$AC$124,11,FALSE)</f>
        <v>71731.214948660447</v>
      </c>
      <c r="F115" s="133">
        <f>VLOOKUP($A115,IKP!$Q$6:$AC$124,12,FALSE)</f>
        <v>74626.944944209652</v>
      </c>
      <c r="G115" s="133">
        <f>VLOOKUP($A115,IKP!$Q$6:$AC$124,13,FALSE)</f>
        <v>76631.777624629933</v>
      </c>
      <c r="H115" s="132">
        <f>((-0.0000000006)*IKP!$J$5 + 0.0461)*E115</f>
        <v>1969.3780671955085</v>
      </c>
      <c r="I115" s="132">
        <f>((-0.0000000006)*IKP!$K$5 + 0.0461)*F115</f>
        <v>1977.9177175191371</v>
      </c>
      <c r="J115" s="132">
        <f>((-0.0000000006)*IKP!$L$5 + 0.0461)*G115</f>
        <v>1973.990443480388</v>
      </c>
      <c r="K115" s="132">
        <f t="shared" si="43"/>
        <v>472.65073612692203</v>
      </c>
      <c r="L115" s="132">
        <f t="shared" si="44"/>
        <v>474.70025220459291</v>
      </c>
      <c r="M115" s="132">
        <f t="shared" si="45"/>
        <v>473.75770643529313</v>
      </c>
      <c r="N115" s="137">
        <f>VLOOKUP(A115,NSAmaksa_2021!$A$4:$N$138,12,FALSE)</f>
        <v>123.84350000000001</v>
      </c>
      <c r="O115" s="137">
        <f>VLOOKUP(A115,NSAmaksa_2021!$A$4:$N$138,14,FALSE)</f>
        <v>57.793633333333325</v>
      </c>
      <c r="P115" s="132">
        <f t="shared" si="46"/>
        <v>146336.80359883618</v>
      </c>
      <c r="Q115" s="132">
        <f t="shared" si="47"/>
        <v>146971.35170974876</v>
      </c>
      <c r="R115" s="132">
        <f t="shared" si="48"/>
        <v>146679.53129229808</v>
      </c>
      <c r="S115" s="132">
        <f t="shared" si="49"/>
        <v>115118.28549775112</v>
      </c>
      <c r="T115" s="132">
        <f t="shared" si="50"/>
        <v>115617.46334500235</v>
      </c>
      <c r="U115" s="132">
        <f t="shared" si="51"/>
        <v>115387.89794994115</v>
      </c>
      <c r="V115" s="132">
        <f t="shared" si="38"/>
        <v>31218.518101085065</v>
      </c>
      <c r="W115" s="132">
        <f t="shared" si="39"/>
        <v>31353.88836474641</v>
      </c>
      <c r="X115" s="132">
        <f t="shared" si="40"/>
        <v>31291.63334235693</v>
      </c>
      <c r="Y115" s="132">
        <f t="shared" si="41"/>
        <v>93864.039808188405</v>
      </c>
      <c r="Z115" s="138">
        <f t="shared" si="42"/>
        <v>12.789601798927482</v>
      </c>
    </row>
    <row r="116" spans="1:26" outlineLevel="1" x14ac:dyDescent="0.3">
      <c r="A116" s="98" t="s">
        <v>111</v>
      </c>
      <c r="B116" s="132">
        <f>VLOOKUP(A116,Iedz_sk!$B$5:$Y$123,15,FALSE)</f>
        <v>2945</v>
      </c>
      <c r="C116" s="132">
        <f>VLOOKUP(A116,Iedz_sk!$B$5:$Y$123,16,FALSE)</f>
        <v>2880</v>
      </c>
      <c r="D116" s="132">
        <f>VLOOKUP(A116,Iedz_sk!$B$5:$Y$123,17,FALSE)</f>
        <v>2815</v>
      </c>
      <c r="E116" s="133">
        <f>VLOOKUP($A116,IKP!$Q$6:$AC$124,11,FALSE)</f>
        <v>27810.482888863218</v>
      </c>
      <c r="F116" s="133">
        <f>VLOOKUP($A116,IKP!$Q$6:$AC$124,12,FALSE)</f>
        <v>29261.48419868261</v>
      </c>
      <c r="G116" s="133">
        <f>VLOOKUP($A116,IKP!$Q$6:$AC$124,13,FALSE)</f>
        <v>30408.578237007794</v>
      </c>
      <c r="H116" s="132">
        <f>((-0.0000000006)*IKP!$J$5 + 0.0461)*E116</f>
        <v>763.53586201826909</v>
      </c>
      <c r="I116" s="132">
        <f>((-0.0000000006)*IKP!$K$5 + 0.0461)*F116</f>
        <v>775.54840387407955</v>
      </c>
      <c r="J116" s="132">
        <f>((-0.0000000006)*IKP!$L$5 + 0.0461)*G116</f>
        <v>783.30745677999619</v>
      </c>
      <c r="K116" s="132">
        <f t="shared" si="43"/>
        <v>183.2486068843846</v>
      </c>
      <c r="L116" s="132">
        <f t="shared" si="44"/>
        <v>186.13161692977911</v>
      </c>
      <c r="M116" s="132">
        <f t="shared" si="45"/>
        <v>187.99378962719911</v>
      </c>
      <c r="N116" s="137">
        <f>VLOOKUP(A116,NSAmaksa_2021!$A$4:$N$138,12,FALSE)</f>
        <v>99.05</v>
      </c>
      <c r="O116" s="137">
        <f>VLOOKUP(A116,NSAmaksa_2021!$A$4:$N$138,14,FALSE)</f>
        <v>46.223333333333329</v>
      </c>
      <c r="P116" s="132">
        <f t="shared" si="46"/>
        <v>45376.936279745729</v>
      </c>
      <c r="Q116" s="132">
        <f t="shared" si="47"/>
        <v>46090.841642236541</v>
      </c>
      <c r="R116" s="132">
        <f t="shared" si="48"/>
        <v>46551.962156435169</v>
      </c>
      <c r="S116" s="132">
        <f t="shared" si="49"/>
        <v>35696.523206733305</v>
      </c>
      <c r="T116" s="132">
        <f t="shared" si="50"/>
        <v>36258.128758559411</v>
      </c>
      <c r="U116" s="132">
        <f t="shared" si="51"/>
        <v>36620.876896395668</v>
      </c>
      <c r="V116" s="132">
        <f t="shared" si="38"/>
        <v>9680.4130730124234</v>
      </c>
      <c r="W116" s="132">
        <f t="shared" si="39"/>
        <v>9832.7128836771299</v>
      </c>
      <c r="X116" s="132">
        <f t="shared" si="40"/>
        <v>9931.085260039501</v>
      </c>
      <c r="Y116" s="132">
        <f t="shared" si="41"/>
        <v>29444.211216729054</v>
      </c>
      <c r="Z116" s="138">
        <f t="shared" si="42"/>
        <v>10.229120286359532</v>
      </c>
    </row>
    <row r="117" spans="1:26" outlineLevel="1" x14ac:dyDescent="0.3">
      <c r="A117" s="98" t="s">
        <v>112</v>
      </c>
      <c r="B117" s="132">
        <f>VLOOKUP(A117,Iedz_sk!$B$5:$Y$123,15,FALSE)</f>
        <v>1754</v>
      </c>
      <c r="C117" s="132">
        <f>VLOOKUP(A117,Iedz_sk!$B$5:$Y$123,16,FALSE)</f>
        <v>1724</v>
      </c>
      <c r="D117" s="132">
        <f>VLOOKUP(A117,Iedz_sk!$B$5:$Y$123,17,FALSE)</f>
        <v>1695</v>
      </c>
      <c r="E117" s="133">
        <f>VLOOKUP($A117,IKP!$Q$6:$AC$124,11,FALSE)</f>
        <v>11534.130738121357</v>
      </c>
      <c r="F117" s="133">
        <f>VLOOKUP($A117,IKP!$Q$6:$AC$124,12,FALSE)</f>
        <v>12194.845557130067</v>
      </c>
      <c r="G117" s="133">
        <f>VLOOKUP($A117,IKP!$Q$6:$AC$124,13,FALSE)</f>
        <v>12744.61508861933</v>
      </c>
      <c r="H117" s="132">
        <f>((-0.0000000006)*IKP!$J$5 + 0.0461)*E117</f>
        <v>316.66916719700617</v>
      </c>
      <c r="I117" s="132">
        <f>((-0.0000000006)*IKP!$K$5 + 0.0461)*F117</f>
        <v>323.21303127026385</v>
      </c>
      <c r="J117" s="132">
        <f>((-0.0000000006)*IKP!$L$5 + 0.0461)*G117</f>
        <v>328.2939424164507</v>
      </c>
      <c r="K117" s="132">
        <f t="shared" si="43"/>
        <v>76.000600127281487</v>
      </c>
      <c r="L117" s="132">
        <f t="shared" si="44"/>
        <v>77.571127504863327</v>
      </c>
      <c r="M117" s="132">
        <f t="shared" si="45"/>
        <v>78.790546179948166</v>
      </c>
      <c r="N117" s="137">
        <f>VLOOKUP(A117,NSAmaksa_2021!$A$4:$N$138,12,FALSE)</f>
        <v>143.69999999999999</v>
      </c>
      <c r="O117" s="137">
        <f>VLOOKUP(A117,NSAmaksa_2021!$A$4:$N$138,14,FALSE)</f>
        <v>67.059999999999988</v>
      </c>
      <c r="P117" s="132">
        <f t="shared" si="46"/>
        <v>27303.215595725873</v>
      </c>
      <c r="Q117" s="132">
        <f t="shared" si="47"/>
        <v>27867.427556122144</v>
      </c>
      <c r="R117" s="132">
        <f t="shared" si="48"/>
        <v>28305.503715146377</v>
      </c>
      <c r="S117" s="132">
        <f t="shared" si="49"/>
        <v>21478.529601971015</v>
      </c>
      <c r="T117" s="132">
        <f t="shared" si="50"/>
        <v>21922.376344149419</v>
      </c>
      <c r="U117" s="132">
        <f t="shared" si="51"/>
        <v>22266.996255915146</v>
      </c>
      <c r="V117" s="132">
        <f t="shared" si="38"/>
        <v>5824.6859937548579</v>
      </c>
      <c r="W117" s="132">
        <f t="shared" si="39"/>
        <v>5945.0512119727246</v>
      </c>
      <c r="X117" s="132">
        <f t="shared" si="40"/>
        <v>6038.5074592312303</v>
      </c>
      <c r="Y117" s="132">
        <f t="shared" si="41"/>
        <v>17808.244664958813</v>
      </c>
      <c r="Z117" s="138">
        <f t="shared" si="42"/>
        <v>10.331748442063626</v>
      </c>
    </row>
    <row r="118" spans="1:26" outlineLevel="1" x14ac:dyDescent="0.3">
      <c r="A118" s="98" t="s">
        <v>113</v>
      </c>
      <c r="B118" s="132">
        <f>VLOOKUP(A118,Iedz_sk!$B$5:$Y$123,15,FALSE)</f>
        <v>3614</v>
      </c>
      <c r="C118" s="132">
        <f>VLOOKUP(A118,Iedz_sk!$B$5:$Y$123,16,FALSE)</f>
        <v>3506</v>
      </c>
      <c r="D118" s="132">
        <f>VLOOKUP(A118,Iedz_sk!$B$5:$Y$123,17,FALSE)</f>
        <v>3398</v>
      </c>
      <c r="E118" s="133">
        <f>VLOOKUP($A118,IKP!$Q$6:$AC$124,11,FALSE)</f>
        <v>34128.042499270516</v>
      </c>
      <c r="F118" s="133">
        <f>VLOOKUP($A118,IKP!$Q$6:$AC$124,12,FALSE)</f>
        <v>35621.792916868486</v>
      </c>
      <c r="G118" s="133">
        <f>VLOOKUP($A118,IKP!$Q$6:$AC$124,13,FALSE)</f>
        <v>36706.340621439602</v>
      </c>
      <c r="H118" s="132">
        <f>((-0.0000000006)*IKP!$J$5 + 0.0461)*E118</f>
        <v>936.98424629338695</v>
      </c>
      <c r="I118" s="132">
        <f>((-0.0000000006)*IKP!$K$5 + 0.0461)*F118</f>
        <v>944.12246666059821</v>
      </c>
      <c r="J118" s="132">
        <f>((-0.0000000006)*IKP!$L$5 + 0.0461)*G118</f>
        <v>945.53418761578223</v>
      </c>
      <c r="K118" s="132">
        <f t="shared" si="43"/>
        <v>224.87621911041288</v>
      </c>
      <c r="L118" s="132">
        <f t="shared" si="44"/>
        <v>226.58939199854359</v>
      </c>
      <c r="M118" s="132">
        <f t="shared" si="45"/>
        <v>226.92820502778775</v>
      </c>
      <c r="N118" s="137">
        <f>VLOOKUP(A118,NSAmaksa_2021!$A$4:$N$138,12,FALSE)</f>
        <v>123.84350000000001</v>
      </c>
      <c r="O118" s="137">
        <f>VLOOKUP(A118,NSAmaksa_2021!$A$4:$N$138,14,FALSE)</f>
        <v>57.793633333333325</v>
      </c>
      <c r="P118" s="132">
        <f t="shared" si="46"/>
        <v>69623.64510350104</v>
      </c>
      <c r="Q118" s="132">
        <f t="shared" si="47"/>
        <v>70154.05841992909</v>
      </c>
      <c r="R118" s="132">
        <f t="shared" si="48"/>
        <v>70258.957898397071</v>
      </c>
      <c r="S118" s="132">
        <f t="shared" si="49"/>
        <v>54770.600814754158</v>
      </c>
      <c r="T118" s="132">
        <f t="shared" si="50"/>
        <v>55187.859290344211</v>
      </c>
      <c r="U118" s="132">
        <f t="shared" si="51"/>
        <v>55270.380213405704</v>
      </c>
      <c r="V118" s="132">
        <f t="shared" si="38"/>
        <v>14853.044288746882</v>
      </c>
      <c r="W118" s="132">
        <f t="shared" si="39"/>
        <v>14966.199129584878</v>
      </c>
      <c r="X118" s="132">
        <f t="shared" si="40"/>
        <v>14988.577684991367</v>
      </c>
      <c r="Y118" s="132">
        <f t="shared" si="41"/>
        <v>44807.821103323127</v>
      </c>
      <c r="Z118" s="138">
        <f t="shared" si="42"/>
        <v>12.789601798927475</v>
      </c>
    </row>
    <row r="119" spans="1:26" outlineLevel="1" x14ac:dyDescent="0.3">
      <c r="A119" s="98" t="s">
        <v>114</v>
      </c>
      <c r="B119" s="132">
        <f>VLOOKUP(A119,Iedz_sk!$B$5:$Y$123,15,FALSE)</f>
        <v>7795</v>
      </c>
      <c r="C119" s="132">
        <f>VLOOKUP(A119,Iedz_sk!$B$5:$Y$123,16,FALSE)</f>
        <v>7650</v>
      </c>
      <c r="D119" s="132">
        <f>VLOOKUP(A119,Iedz_sk!$B$5:$Y$123,17,FALSE)</f>
        <v>7505</v>
      </c>
      <c r="E119" s="133">
        <f>VLOOKUP($A119,IKP!$Q$6:$AC$124,11,FALSE)</f>
        <v>66524.099230699212</v>
      </c>
      <c r="F119" s="133">
        <f>VLOOKUP($A119,IKP!$Q$6:$AC$124,12,FALSE)</f>
        <v>69750.859694653991</v>
      </c>
      <c r="G119" s="133">
        <f>VLOOKUP($A119,IKP!$Q$6:$AC$124,13,FALSE)</f>
        <v>72223.819712559081</v>
      </c>
      <c r="H119" s="132">
        <f>((-0.0000000006)*IKP!$J$5 + 0.0461)*E119</f>
        <v>1826.4168822268527</v>
      </c>
      <c r="I119" s="132">
        <f>((-0.0000000006)*IKP!$K$5 + 0.0461)*F119</f>
        <v>1848.6816163436167</v>
      </c>
      <c r="J119" s="132">
        <f>((-0.0000000006)*IKP!$L$5 + 0.0461)*G119</f>
        <v>1860.4439871223799</v>
      </c>
      <c r="K119" s="132">
        <f t="shared" si="43"/>
        <v>438.34005173444467</v>
      </c>
      <c r="L119" s="132">
        <f t="shared" si="44"/>
        <v>443.68358792246801</v>
      </c>
      <c r="M119" s="132">
        <f t="shared" si="45"/>
        <v>446.50655690937123</v>
      </c>
      <c r="N119" s="137">
        <f>VLOOKUP(A119,NSAmaksa_2021!$A$4:$N$138,12,FALSE)</f>
        <v>88.75</v>
      </c>
      <c r="O119" s="137">
        <f>VLOOKUP(A119,NSAmaksa_2021!$A$4:$N$138,14,FALSE)</f>
        <v>41.416666666666664</v>
      </c>
      <c r="P119" s="132">
        <f t="shared" si="46"/>
        <v>97256.698978579909</v>
      </c>
      <c r="Q119" s="132">
        <f t="shared" si="47"/>
        <v>98442.296070297583</v>
      </c>
      <c r="R119" s="132">
        <f t="shared" si="48"/>
        <v>99068.642314266734</v>
      </c>
      <c r="S119" s="132">
        <f t="shared" si="49"/>
        <v>76508.603196482858</v>
      </c>
      <c r="T119" s="132">
        <f t="shared" si="50"/>
        <v>77441.272908634099</v>
      </c>
      <c r="U119" s="132">
        <f t="shared" si="51"/>
        <v>77933.998620556493</v>
      </c>
      <c r="V119" s="132">
        <f t="shared" si="38"/>
        <v>20748.095782097051</v>
      </c>
      <c r="W119" s="132">
        <f t="shared" si="39"/>
        <v>21001.023161663485</v>
      </c>
      <c r="X119" s="132">
        <f t="shared" si="40"/>
        <v>21134.643693710241</v>
      </c>
      <c r="Y119" s="132">
        <f t="shared" si="41"/>
        <v>62883.762637470776</v>
      </c>
      <c r="Z119" s="138">
        <f t="shared" si="42"/>
        <v>8.2230254044968625</v>
      </c>
    </row>
    <row r="120" spans="1:26" outlineLevel="1" x14ac:dyDescent="0.3">
      <c r="A120" s="98" t="s">
        <v>115</v>
      </c>
      <c r="B120" s="132">
        <f>VLOOKUP(A120,Iedz_sk!$B$5:$Y$123,15,FALSE)</f>
        <v>10777</v>
      </c>
      <c r="C120" s="132">
        <f>VLOOKUP(A120,Iedz_sk!$B$5:$Y$123,16,FALSE)</f>
        <v>10610</v>
      </c>
      <c r="D120" s="132">
        <f>VLOOKUP(A120,Iedz_sk!$B$5:$Y$123,17,FALSE)</f>
        <v>10443</v>
      </c>
      <c r="E120" s="133">
        <f>VLOOKUP($A120,IKP!$Q$6:$AC$124,11,FALSE)</f>
        <v>103256.21986562765</v>
      </c>
      <c r="F120" s="133">
        <f>VLOOKUP($A120,IKP!$Q$6:$AC$124,12,FALSE)</f>
        <v>108780.63142282021</v>
      </c>
      <c r="G120" s="133">
        <f>VLOOKUP($A120,IKP!$Q$6:$AC$124,13,FALSE)</f>
        <v>113191.50395031321</v>
      </c>
      <c r="H120" s="132">
        <f>((-0.0000000006)*IKP!$J$5 + 0.0461)*E120</f>
        <v>2834.8960051830509</v>
      </c>
      <c r="I120" s="132">
        <f>((-0.0000000006)*IKP!$K$5 + 0.0461)*F120</f>
        <v>2883.1293894580017</v>
      </c>
      <c r="J120" s="132">
        <f>((-0.0000000006)*IKP!$L$5 + 0.0461)*G120</f>
        <v>2915.7479313030603</v>
      </c>
      <c r="K120" s="132">
        <f t="shared" si="43"/>
        <v>680.37504124393229</v>
      </c>
      <c r="L120" s="132">
        <f t="shared" si="44"/>
        <v>691.95105346992034</v>
      </c>
      <c r="M120" s="132">
        <f t="shared" si="45"/>
        <v>699.77950351273444</v>
      </c>
      <c r="N120" s="137">
        <f>VLOOKUP(A120,NSAmaksa_2021!$A$4:$N$138,12,FALSE)</f>
        <v>77.45</v>
      </c>
      <c r="O120" s="137">
        <f>VLOOKUP(A120,NSAmaksa_2021!$A$4:$N$138,14,FALSE)</f>
        <v>36.143333333333331</v>
      </c>
      <c r="P120" s="132">
        <f t="shared" si="46"/>
        <v>131737.61736085638</v>
      </c>
      <c r="Q120" s="132">
        <f t="shared" si="47"/>
        <v>133979.02272811334</v>
      </c>
      <c r="R120" s="132">
        <f t="shared" si="48"/>
        <v>135494.80636765322</v>
      </c>
      <c r="S120" s="132">
        <f t="shared" si="49"/>
        <v>103633.59232387369</v>
      </c>
      <c r="T120" s="132">
        <f t="shared" si="50"/>
        <v>105396.83121278249</v>
      </c>
      <c r="U120" s="132">
        <f t="shared" si="51"/>
        <v>106589.24767588719</v>
      </c>
      <c r="V120" s="132">
        <f t="shared" si="38"/>
        <v>28104.025036982697</v>
      </c>
      <c r="W120" s="132">
        <f t="shared" si="39"/>
        <v>28582.191515330851</v>
      </c>
      <c r="X120" s="132">
        <f t="shared" si="40"/>
        <v>28905.558691766026</v>
      </c>
      <c r="Y120" s="132">
        <f t="shared" si="41"/>
        <v>85591.775244079574</v>
      </c>
      <c r="Z120" s="138">
        <f t="shared" si="42"/>
        <v>8.0696061880329992</v>
      </c>
    </row>
    <row r="121" spans="1:26" outlineLevel="1" x14ac:dyDescent="0.3">
      <c r="A121" s="98" t="s">
        <v>116</v>
      </c>
      <c r="B121" s="132">
        <f>VLOOKUP(A121,Iedz_sk!$B$5:$Y$123,15,FALSE)</f>
        <v>3535</v>
      </c>
      <c r="C121" s="132">
        <f>VLOOKUP(A121,Iedz_sk!$B$5:$Y$123,16,FALSE)</f>
        <v>3451</v>
      </c>
      <c r="D121" s="132">
        <f>VLOOKUP(A121,Iedz_sk!$B$5:$Y$123,17,FALSE)</f>
        <v>3367</v>
      </c>
      <c r="E121" s="133">
        <f>VLOOKUP($A121,IKP!$Q$6:$AC$124,11,FALSE)</f>
        <v>30168.401639579439</v>
      </c>
      <c r="F121" s="133">
        <f>VLOOKUP($A121,IKP!$Q$6:$AC$124,12,FALSE)</f>
        <v>31465.387817810581</v>
      </c>
      <c r="G121" s="133">
        <f>VLOOKUP($A121,IKP!$Q$6:$AC$124,13,FALSE)</f>
        <v>32402.078743795661</v>
      </c>
      <c r="H121" s="132">
        <f>((-0.0000000006)*IKP!$J$5 + 0.0461)*E121</f>
        <v>828.27244113815584</v>
      </c>
      <c r="I121" s="132">
        <f>((-0.0000000006)*IKP!$K$5 + 0.0461)*F121</f>
        <v>833.96081803945378</v>
      </c>
      <c r="J121" s="132">
        <f>((-0.0000000006)*IKP!$L$5 + 0.0461)*G121</f>
        <v>834.65888136456408</v>
      </c>
      <c r="K121" s="132">
        <f t="shared" si="43"/>
        <v>198.78538587315742</v>
      </c>
      <c r="L121" s="132">
        <f t="shared" si="44"/>
        <v>200.1505963294689</v>
      </c>
      <c r="M121" s="132">
        <f t="shared" si="45"/>
        <v>200.31813152749538</v>
      </c>
      <c r="N121" s="137">
        <f>VLOOKUP(A121,NSAmaksa_2021!$A$4:$N$138,12,FALSE)</f>
        <v>111.2</v>
      </c>
      <c r="O121" s="137">
        <f>VLOOKUP(A121,NSAmaksa_2021!$A$4:$N$138,14,FALSE)</f>
        <v>51.893333333333324</v>
      </c>
      <c r="P121" s="132">
        <f t="shared" si="46"/>
        <v>55262.337272737757</v>
      </c>
      <c r="Q121" s="132">
        <f t="shared" si="47"/>
        <v>55641.865779592357</v>
      </c>
      <c r="R121" s="132">
        <f t="shared" si="48"/>
        <v>55688.440564643715</v>
      </c>
      <c r="S121" s="132">
        <f t="shared" si="49"/>
        <v>43473.038654553697</v>
      </c>
      <c r="T121" s="132">
        <f t="shared" si="50"/>
        <v>43771.601079945991</v>
      </c>
      <c r="U121" s="132">
        <f t="shared" si="51"/>
        <v>43808.239910853052</v>
      </c>
      <c r="V121" s="132">
        <f t="shared" si="38"/>
        <v>11789.298618184061</v>
      </c>
      <c r="W121" s="132">
        <f t="shared" si="39"/>
        <v>11870.264699646366</v>
      </c>
      <c r="X121" s="132">
        <f t="shared" si="40"/>
        <v>11880.200653790664</v>
      </c>
      <c r="Y121" s="132">
        <f t="shared" si="41"/>
        <v>35539.763971621091</v>
      </c>
      <c r="Z121" s="138">
        <f t="shared" si="42"/>
        <v>10.303103380056916</v>
      </c>
    </row>
    <row r="122" spans="1:26" outlineLevel="1" x14ac:dyDescent="0.3">
      <c r="A122" s="98" t="s">
        <v>117</v>
      </c>
      <c r="B122" s="132">
        <f>VLOOKUP(A122,Iedz_sk!$B$5:$Y$123,15,FALSE)</f>
        <v>4476</v>
      </c>
      <c r="C122" s="132">
        <f>VLOOKUP(A122,Iedz_sk!$B$5:$Y$123,16,FALSE)</f>
        <v>4352</v>
      </c>
      <c r="D122" s="132">
        <f>VLOOKUP(A122,Iedz_sk!$B$5:$Y$123,17,FALSE)</f>
        <v>4228</v>
      </c>
      <c r="E122" s="133">
        <f>VLOOKUP($A122,IKP!$Q$6:$AC$124,11,FALSE)</f>
        <v>29433.733856232153</v>
      </c>
      <c r="F122" s="133">
        <f>VLOOKUP($A122,IKP!$Q$6:$AC$124,12,FALSE)</f>
        <v>30784.204097813257</v>
      </c>
      <c r="G122" s="133">
        <f>VLOOKUP($A122,IKP!$Q$6:$AC$124,13,FALSE)</f>
        <v>31790.107725476417</v>
      </c>
      <c r="H122" s="132">
        <f>((-0.0000000006)*IKP!$J$5 + 0.0461)*E122</f>
        <v>808.10216212873411</v>
      </c>
      <c r="I122" s="132">
        <f>((-0.0000000006)*IKP!$K$5 + 0.0461)*F122</f>
        <v>815.90667754535286</v>
      </c>
      <c r="J122" s="132">
        <f>((-0.0000000006)*IKP!$L$5 + 0.0461)*G122</f>
        <v>818.89486049365996</v>
      </c>
      <c r="K122" s="132">
        <f t="shared" si="43"/>
        <v>193.94451891089619</v>
      </c>
      <c r="L122" s="132">
        <f t="shared" si="44"/>
        <v>195.81760261088468</v>
      </c>
      <c r="M122" s="132">
        <f t="shared" si="45"/>
        <v>196.53476651847839</v>
      </c>
      <c r="N122" s="137">
        <f>VLOOKUP(A122,NSAmaksa_2021!$A$4:$N$138,12,FALSE)</f>
        <v>121.726</v>
      </c>
      <c r="O122" s="137">
        <f>VLOOKUP(A122,NSAmaksa_2021!$A$4:$N$138,14,FALSE)</f>
        <v>56.805466666666675</v>
      </c>
      <c r="P122" s="132">
        <f t="shared" si="46"/>
        <v>59020.226272369371</v>
      </c>
      <c r="Q122" s="132">
        <f t="shared" si="47"/>
        <v>59590.233738531373</v>
      </c>
      <c r="R122" s="132">
        <f t="shared" si="48"/>
        <v>59808.47747307075</v>
      </c>
      <c r="S122" s="132">
        <f t="shared" si="49"/>
        <v>46429.244667597239</v>
      </c>
      <c r="T122" s="132">
        <f t="shared" si="50"/>
        <v>46877.650540978007</v>
      </c>
      <c r="U122" s="132">
        <f t="shared" si="51"/>
        <v>47049.335612148992</v>
      </c>
      <c r="V122" s="132">
        <f t="shared" si="38"/>
        <v>12590.981604772132</v>
      </c>
      <c r="W122" s="132">
        <f t="shared" si="39"/>
        <v>12712.583197553366</v>
      </c>
      <c r="X122" s="132">
        <f t="shared" si="40"/>
        <v>12759.141860921758</v>
      </c>
      <c r="Y122" s="132">
        <f t="shared" si="41"/>
        <v>38062.706663247256</v>
      </c>
      <c r="Z122" s="138">
        <f t="shared" si="42"/>
        <v>8.7518608967198102</v>
      </c>
    </row>
    <row r="123" spans="1:26" outlineLevel="1" x14ac:dyDescent="0.3">
      <c r="A123" s="98" t="s">
        <v>118</v>
      </c>
      <c r="B123" s="132">
        <f>VLOOKUP(A123,Iedz_sk!$B$5:$Y$123,15,FALSE)</f>
        <v>5399</v>
      </c>
      <c r="C123" s="132">
        <f>VLOOKUP(A123,Iedz_sk!$B$5:$Y$123,16,FALSE)</f>
        <v>5293</v>
      </c>
      <c r="D123" s="132">
        <f>VLOOKUP(A123,Iedz_sk!$B$5:$Y$123,17,FALSE)</f>
        <v>5186</v>
      </c>
      <c r="E123" s="133">
        <f>VLOOKUP($A123,IKP!$Q$6:$AC$124,11,FALSE)</f>
        <v>35503.290681366714</v>
      </c>
      <c r="F123" s="133">
        <f>VLOOKUP($A123,IKP!$Q$6:$AC$124,12,FALSE)</f>
        <v>37440.439404808261</v>
      </c>
      <c r="G123" s="133">
        <f>VLOOKUP($A123,IKP!$Q$6:$AC$124,13,FALSE)</f>
        <v>38993.258908306692</v>
      </c>
      <c r="H123" s="132">
        <f>((-0.0000000006)*IKP!$J$5 + 0.0461)*E123</f>
        <v>974.74163836752371</v>
      </c>
      <c r="I123" s="132">
        <f>((-0.0000000006)*IKP!$K$5 + 0.0461)*F123</f>
        <v>992.32399913776476</v>
      </c>
      <c r="J123" s="132">
        <f>((-0.0000000006)*IKP!$L$5 + 0.0461)*G123</f>
        <v>1004.4438851750522</v>
      </c>
      <c r="K123" s="132">
        <f t="shared" si="43"/>
        <v>233.93799320820571</v>
      </c>
      <c r="L123" s="132">
        <f t="shared" si="44"/>
        <v>238.15775979306352</v>
      </c>
      <c r="M123" s="132">
        <f t="shared" si="45"/>
        <v>241.06653244201252</v>
      </c>
      <c r="N123" s="137">
        <f>VLOOKUP(A123,NSAmaksa_2021!$A$4:$N$138,12,FALSE)</f>
        <v>78.650000000000006</v>
      </c>
      <c r="O123" s="137">
        <f>VLOOKUP(A123,NSAmaksa_2021!$A$4:$N$138,14,FALSE)</f>
        <v>36.703333333333333</v>
      </c>
      <c r="P123" s="132">
        <f t="shared" si="46"/>
        <v>45998.05791456344</v>
      </c>
      <c r="Q123" s="132">
        <f t="shared" si="47"/>
        <v>46827.769519311121</v>
      </c>
      <c r="R123" s="132">
        <f t="shared" si="48"/>
        <v>47399.706941410717</v>
      </c>
      <c r="S123" s="132">
        <f t="shared" si="49"/>
        <v>36185.13889278991</v>
      </c>
      <c r="T123" s="132">
        <f t="shared" si="50"/>
        <v>36837.845355191414</v>
      </c>
      <c r="U123" s="132">
        <f t="shared" si="51"/>
        <v>37287.769460576426</v>
      </c>
      <c r="V123" s="132">
        <f t="shared" si="38"/>
        <v>9812.9190217735304</v>
      </c>
      <c r="W123" s="132">
        <f t="shared" si="39"/>
        <v>9989.9241641197077</v>
      </c>
      <c r="X123" s="132">
        <f t="shared" si="40"/>
        <v>10111.937480834291</v>
      </c>
      <c r="Y123" s="132">
        <f t="shared" si="41"/>
        <v>29914.780666727529</v>
      </c>
      <c r="Z123" s="138">
        <f t="shared" si="42"/>
        <v>5.6547808974829783</v>
      </c>
    </row>
    <row r="124" spans="1:26" outlineLevel="1" x14ac:dyDescent="0.3">
      <c r="A124" s="98" t="s">
        <v>119</v>
      </c>
      <c r="B124" s="132">
        <f>VLOOKUP(A124,Iedz_sk!$B$5:$Y$123,15,FALSE)</f>
        <v>2549</v>
      </c>
      <c r="C124" s="132">
        <f>VLOOKUP(A124,Iedz_sk!$B$5:$Y$123,16,FALSE)</f>
        <v>2479</v>
      </c>
      <c r="D124" s="132">
        <f>VLOOKUP(A124,Iedz_sk!$B$5:$Y$123,17,FALSE)</f>
        <v>2410</v>
      </c>
      <c r="E124" s="133">
        <f>VLOOKUP($A124,IKP!$Q$6:$AC$124,11,FALSE)</f>
        <v>16761.972207224255</v>
      </c>
      <c r="F124" s="133">
        <f>VLOOKUP($A124,IKP!$Q$6:$AC$124,12,FALSE)</f>
        <v>17535.395670606402</v>
      </c>
      <c r="G124" s="133">
        <f>VLOOKUP($A124,IKP!$Q$6:$AC$124,13,FALSE)</f>
        <v>18120.662161399756</v>
      </c>
      <c r="H124" s="132">
        <f>((-0.0000000006)*IKP!$J$5 + 0.0461)*E124</f>
        <v>460.19937695847705</v>
      </c>
      <c r="I124" s="132">
        <f>((-0.0000000006)*IKP!$K$5 + 0.0461)*F124</f>
        <v>464.75934136832024</v>
      </c>
      <c r="J124" s="132">
        <f>((-0.0000000006)*IKP!$L$5 + 0.0461)*G124</f>
        <v>466.77781783105974</v>
      </c>
      <c r="K124" s="132">
        <f t="shared" si="43"/>
        <v>110.4478504700345</v>
      </c>
      <c r="L124" s="132">
        <f t="shared" si="44"/>
        <v>111.54224192839685</v>
      </c>
      <c r="M124" s="132">
        <f t="shared" si="45"/>
        <v>112.02667627945435</v>
      </c>
      <c r="N124" s="137">
        <f>VLOOKUP(A124,NSAmaksa_2021!$A$4:$N$138,12,FALSE)</f>
        <v>124.4</v>
      </c>
      <c r="O124" s="137">
        <f>VLOOKUP(A124,NSAmaksa_2021!$A$4:$N$138,14,FALSE)</f>
        <v>58.053333333333335</v>
      </c>
      <c r="P124" s="132">
        <f t="shared" si="46"/>
        <v>34349.281496180731</v>
      </c>
      <c r="Q124" s="132">
        <f t="shared" si="47"/>
        <v>34689.637239731426</v>
      </c>
      <c r="R124" s="132">
        <f t="shared" si="48"/>
        <v>34840.296322910304</v>
      </c>
      <c r="S124" s="132">
        <f t="shared" si="49"/>
        <v>27021.434776995509</v>
      </c>
      <c r="T124" s="132">
        <f t="shared" si="50"/>
        <v>27289.181295255388</v>
      </c>
      <c r="U124" s="132">
        <f t="shared" si="51"/>
        <v>27407.699774022771</v>
      </c>
      <c r="V124" s="132">
        <f t="shared" si="38"/>
        <v>7327.8467191852214</v>
      </c>
      <c r="W124" s="132">
        <f t="shared" si="39"/>
        <v>7400.455944476038</v>
      </c>
      <c r="X124" s="132">
        <f t="shared" si="40"/>
        <v>7432.5965488875336</v>
      </c>
      <c r="Y124" s="132">
        <f t="shared" si="41"/>
        <v>22160.899212548793</v>
      </c>
      <c r="Z124" s="138">
        <f t="shared" si="42"/>
        <v>8.9441162574301654</v>
      </c>
    </row>
    <row r="125" spans="1:26" x14ac:dyDescent="0.3">
      <c r="B125" s="108"/>
      <c r="C125" s="108"/>
      <c r="D125" s="108"/>
      <c r="E125" s="117"/>
      <c r="F125" s="117"/>
      <c r="G125" s="117"/>
      <c r="H125" s="114"/>
      <c r="I125" s="114"/>
      <c r="J125" s="114"/>
      <c r="N125" s="116"/>
      <c r="O125" s="116"/>
      <c r="P125" s="114"/>
      <c r="Q125" s="114"/>
      <c r="R125" s="114"/>
      <c r="S125" s="114"/>
      <c r="T125" s="114"/>
      <c r="U125" s="114"/>
      <c r="V125" s="114"/>
      <c r="W125" s="114"/>
      <c r="X125" s="114"/>
      <c r="Y125" s="114"/>
      <c r="Z125" s="112"/>
    </row>
    <row r="126" spans="1:26" x14ac:dyDescent="0.3">
      <c r="A126" s="98" t="s">
        <v>135</v>
      </c>
      <c r="B126" s="132">
        <f>IKP!J70</f>
        <v>183869</v>
      </c>
      <c r="C126" s="132">
        <f>IKP!K70</f>
        <v>184214</v>
      </c>
      <c r="D126" s="132">
        <f>IKP!L70</f>
        <v>184559</v>
      </c>
      <c r="E126" s="133">
        <f>IKP!J75</f>
        <v>5228143.5548050608</v>
      </c>
      <c r="F126" s="133">
        <f>IKP!K75</f>
        <v>5494772.0032940069</v>
      </c>
      <c r="G126" s="133">
        <f>IKP!L75</f>
        <v>5703575.4772889027</v>
      </c>
      <c r="H126" s="132">
        <f>((-0.0000000006)*IKP!$J$5 + 0.0461)*E126</f>
        <v>143538.50351415138</v>
      </c>
      <c r="I126" s="132">
        <f>((-0.0000000006)*IKP!$K$5 + 0.0461)*F126</f>
        <v>145633.81774730695</v>
      </c>
      <c r="J126" s="132">
        <f>((-0.0000000006)*IKP!$L$5 + 0.0461)*G126</f>
        <v>146920.81842322729</v>
      </c>
      <c r="K126" s="132">
        <f>H126*$AB$6*$AB$5</f>
        <v>34449.240843396328</v>
      </c>
      <c r="L126" s="132">
        <f>I126*$AB$6*$AB$5</f>
        <v>34952.116259353672</v>
      </c>
      <c r="M126" s="132">
        <f>J126*$AB$6*$AB$5</f>
        <v>35260.996421574549</v>
      </c>
      <c r="N126" s="137">
        <f>VLOOKUP(A126,NSAmaksa_2021!$A$4:$N$138,12,FALSE)</f>
        <v>83.9</v>
      </c>
      <c r="O126" s="137">
        <f>VLOOKUP(A126,NSAmaksa_2021!$A$4:$N$138,14,FALSE)</f>
        <v>31.2</v>
      </c>
      <c r="P126" s="132">
        <f t="shared" ref="P126:R129" si="52">H126*$AB$5*$N126</f>
        <v>7225728.2669023806</v>
      </c>
      <c r="Q126" s="132">
        <f t="shared" si="52"/>
        <v>7331206.3853994319</v>
      </c>
      <c r="R126" s="132">
        <f t="shared" si="52"/>
        <v>7395993.9994252622</v>
      </c>
      <c r="S126" s="132">
        <f t="shared" ref="S126:U129" si="53">H126*$AB$5*(1-$AB$6)*$N126+K126*$O126</f>
        <v>5410253.2744553927</v>
      </c>
      <c r="T126" s="132">
        <f t="shared" si="53"/>
        <v>5489229.8585314937</v>
      </c>
      <c r="U126" s="132">
        <f t="shared" si="53"/>
        <v>5537739.4880082831</v>
      </c>
      <c r="V126" s="132">
        <f t="shared" si="38"/>
        <v>1815474.9924469879</v>
      </c>
      <c r="W126" s="132">
        <f t="shared" si="39"/>
        <v>1841976.5268679382</v>
      </c>
      <c r="X126" s="132">
        <f t="shared" si="40"/>
        <v>1858254.5114169791</v>
      </c>
      <c r="Y126" s="132">
        <f t="shared" si="41"/>
        <v>5515706.0307319053</v>
      </c>
      <c r="Z126" s="138">
        <f t="shared" si="42"/>
        <v>29.941474576005984</v>
      </c>
    </row>
    <row r="127" spans="1:26" x14ac:dyDescent="0.3">
      <c r="A127" s="98" t="s">
        <v>136</v>
      </c>
      <c r="B127" s="132">
        <f>IKP!J71</f>
        <v>112248</v>
      </c>
      <c r="C127" s="132">
        <f>IKP!K71</f>
        <v>112459</v>
      </c>
      <c r="D127" s="132">
        <f>IKP!L71</f>
        <v>112669</v>
      </c>
      <c r="E127" s="133">
        <f>IKP!J76</f>
        <v>3191667.2073038877</v>
      </c>
      <c r="F127" s="133">
        <f>IKP!K76</f>
        <v>3354449.524566215</v>
      </c>
      <c r="G127" s="133">
        <f>IKP!L76</f>
        <v>3481900.8850864135</v>
      </c>
      <c r="H127" s="132">
        <f>((-0.0000000006)*IKP!$J$5 + 0.0461)*E127</f>
        <v>87627.114643884866</v>
      </c>
      <c r="I127" s="132">
        <f>((-0.0000000006)*IKP!$K$5 + 0.0461)*F127</f>
        <v>88906.562530776122</v>
      </c>
      <c r="J127" s="132">
        <f>((-0.0000000006)*IKP!$L$5 + 0.0461)*G127</f>
        <v>89691.760851145693</v>
      </c>
      <c r="K127" s="132">
        <f t="shared" ref="K127:M129" si="54">H127*$AB$6*$AB$5</f>
        <v>21030.507514532368</v>
      </c>
      <c r="L127" s="132">
        <f t="shared" si="54"/>
        <v>21337.575007386269</v>
      </c>
      <c r="M127" s="132">
        <f t="shared" si="54"/>
        <v>21526.022604274967</v>
      </c>
      <c r="N127" s="137">
        <f>VLOOKUP(A127,NSAmaksa_2021!$A$4:$N$138,12,FALSE)</f>
        <v>85.35</v>
      </c>
      <c r="O127" s="137">
        <f>VLOOKUP(A127,NSAmaksa_2021!$A$4:$N$138,14,FALSE)</f>
        <v>32.266666666666666</v>
      </c>
      <c r="P127" s="132">
        <f t="shared" si="52"/>
        <v>4487384.5409133434</v>
      </c>
      <c r="Q127" s="132">
        <f t="shared" si="52"/>
        <v>4552905.0672010453</v>
      </c>
      <c r="R127" s="132">
        <f t="shared" si="52"/>
        <v>4593115.0731871706</v>
      </c>
      <c r="S127" s="132">
        <f t="shared" si="53"/>
        <v>3371015.1003502505</v>
      </c>
      <c r="T127" s="132">
        <f t="shared" si="53"/>
        <v>3420235.4605589574</v>
      </c>
      <c r="U127" s="132">
        <f t="shared" si="53"/>
        <v>3450442.0399435745</v>
      </c>
      <c r="V127" s="132">
        <f t="shared" si="38"/>
        <v>1116369.4405630929</v>
      </c>
      <c r="W127" s="132">
        <f t="shared" si="39"/>
        <v>1132669.6066420879</v>
      </c>
      <c r="X127" s="132">
        <f t="shared" si="40"/>
        <v>1142673.0332435961</v>
      </c>
      <c r="Y127" s="132">
        <f t="shared" si="41"/>
        <v>3391712.0804487769</v>
      </c>
      <c r="Z127" s="138">
        <f t="shared" si="42"/>
        <v>30.159265188038908</v>
      </c>
    </row>
    <row r="128" spans="1:26" x14ac:dyDescent="0.3">
      <c r="A128" s="98" t="s">
        <v>137</v>
      </c>
      <c r="B128" s="132">
        <f>IKP!J72</f>
        <v>90127</v>
      </c>
      <c r="C128" s="132">
        <f>IKP!K72</f>
        <v>90296</v>
      </c>
      <c r="D128" s="132">
        <f>IKP!L72</f>
        <v>90465</v>
      </c>
      <c r="E128" s="133">
        <f>IKP!J77</f>
        <v>2562677.2004194059</v>
      </c>
      <c r="F128" s="133">
        <f>IKP!K77</f>
        <v>2693367.1317567378</v>
      </c>
      <c r="G128" s="133">
        <f>IKP!L77</f>
        <v>2795712.783190961</v>
      </c>
      <c r="H128" s="132">
        <f>((-0.0000000006)*IKP!$J$5 + 0.0461)*E128</f>
        <v>70358.215393676597</v>
      </c>
      <c r="I128" s="132">
        <f>((-0.0000000006)*IKP!$K$5 + 0.0461)*F128</f>
        <v>71385.189004694708</v>
      </c>
      <c r="J128" s="132">
        <f>((-0.0000000006)*IKP!$L$5 + 0.0461)*G128</f>
        <v>72015.950664325544</v>
      </c>
      <c r="K128" s="132">
        <f t="shared" si="54"/>
        <v>16885.971694482385</v>
      </c>
      <c r="L128" s="132">
        <f t="shared" si="54"/>
        <v>17132.445361126731</v>
      </c>
      <c r="M128" s="132">
        <f t="shared" si="54"/>
        <v>17283.82815943813</v>
      </c>
      <c r="N128" s="137">
        <f>VLOOKUP(A128,NSAmaksa_2021!$A$4:$N$138,12,FALSE)</f>
        <v>63.6</v>
      </c>
      <c r="O128" s="137">
        <f>VLOOKUP(A128,NSAmaksa_2021!$A$4:$N$138,14,FALSE)</f>
        <v>24.2</v>
      </c>
      <c r="P128" s="132">
        <f t="shared" si="52"/>
        <v>2684869.4994226987</v>
      </c>
      <c r="Q128" s="132">
        <f t="shared" si="52"/>
        <v>2724058.81241915</v>
      </c>
      <c r="R128" s="132">
        <f t="shared" si="52"/>
        <v>2748128.6773506626</v>
      </c>
      <c r="S128" s="132">
        <f t="shared" si="53"/>
        <v>2019562.214660093</v>
      </c>
      <c r="T128" s="132">
        <f t="shared" si="53"/>
        <v>2049040.4651907566</v>
      </c>
      <c r="U128" s="132">
        <f t="shared" si="53"/>
        <v>2067145.8478688002</v>
      </c>
      <c r="V128" s="132">
        <f t="shared" si="38"/>
        <v>665307.28476260579</v>
      </c>
      <c r="W128" s="132">
        <f t="shared" si="39"/>
        <v>675018.34722839342</v>
      </c>
      <c r="X128" s="132">
        <f t="shared" si="40"/>
        <v>680982.82948186249</v>
      </c>
      <c r="Y128" s="132">
        <f t="shared" si="41"/>
        <v>2021308.4614728617</v>
      </c>
      <c r="Z128" s="138">
        <f t="shared" si="42"/>
        <v>22.385087254167658</v>
      </c>
    </row>
    <row r="129" spans="1:27" x14ac:dyDescent="0.3">
      <c r="A129" s="98" t="s">
        <v>138</v>
      </c>
      <c r="B129" s="132">
        <f>IKP!J73</f>
        <v>228376</v>
      </c>
      <c r="C129" s="132">
        <f>IKP!K73</f>
        <v>228805</v>
      </c>
      <c r="D129" s="132">
        <f>IKP!L73</f>
        <v>229233</v>
      </c>
      <c r="E129" s="133">
        <f>IKP!J78</f>
        <v>6493658.5964581342</v>
      </c>
      <c r="F129" s="133">
        <f>IKP!K78</f>
        <v>6824841.2618676396</v>
      </c>
      <c r="G129" s="133">
        <f>IKP!L78</f>
        <v>7084172.0933975969</v>
      </c>
      <c r="H129" s="132">
        <f>((-0.0000000006)*IKP!$J$5 + 0.0461)*E129</f>
        <v>178283.17594889752</v>
      </c>
      <c r="I129" s="132">
        <f>((-0.0000000006)*IKP!$K$5 + 0.0461)*F129</f>
        <v>180886.06549813028</v>
      </c>
      <c r="J129" s="132">
        <f>((-0.0000000006)*IKP!$L$5 + 0.0461)*G129</f>
        <v>182484.19188233392</v>
      </c>
      <c r="K129" s="132">
        <f t="shared" si="54"/>
        <v>42787.962227735399</v>
      </c>
      <c r="L129" s="132">
        <f t="shared" si="54"/>
        <v>43412.655719551272</v>
      </c>
      <c r="M129" s="132">
        <f t="shared" si="54"/>
        <v>43796.206051760142</v>
      </c>
      <c r="N129" s="137">
        <f>VLOOKUP(A129,NSAmaksa_2021!$A$4:$N$138,12,FALSE)</f>
        <v>86.15</v>
      </c>
      <c r="O129" s="137">
        <f>VLOOKUP(A129,NSAmaksa_2021!$A$4:$N$138,14,FALSE)</f>
        <v>41.900000000000006</v>
      </c>
      <c r="P129" s="132">
        <f t="shared" si="52"/>
        <v>9215457.3647985142</v>
      </c>
      <c r="Q129" s="132">
        <f t="shared" si="52"/>
        <v>9350000.7255983539</v>
      </c>
      <c r="R129" s="132">
        <f t="shared" si="52"/>
        <v>9432607.878397841</v>
      </c>
      <c r="S129" s="132">
        <f t="shared" si="53"/>
        <v>7322090.036221222</v>
      </c>
      <c r="T129" s="132">
        <f t="shared" si="53"/>
        <v>7428990.7100082114</v>
      </c>
      <c r="U129" s="132">
        <f t="shared" si="53"/>
        <v>7494625.7606074549</v>
      </c>
      <c r="V129" s="132">
        <f t="shared" si="38"/>
        <v>1893367.3285772922</v>
      </c>
      <c r="W129" s="132">
        <f t="shared" si="39"/>
        <v>1921010.0155901425</v>
      </c>
      <c r="X129" s="132">
        <f t="shared" si="40"/>
        <v>1937982.1177903861</v>
      </c>
      <c r="Y129" s="132">
        <f t="shared" si="41"/>
        <v>5752359.4619578207</v>
      </c>
      <c r="Z129" s="138">
        <f t="shared" si="42"/>
        <v>25.140611954236512</v>
      </c>
    </row>
    <row r="130" spans="1:27" x14ac:dyDescent="0.3">
      <c r="A130" s="148" t="s">
        <v>462</v>
      </c>
      <c r="B130" s="149">
        <f>SUM(B126:B129)</f>
        <v>614620</v>
      </c>
      <c r="C130" s="149">
        <f t="shared" ref="C130:M130" si="55">SUM(C126:C129)</f>
        <v>615774</v>
      </c>
      <c r="D130" s="149">
        <f t="shared" si="55"/>
        <v>616926</v>
      </c>
      <c r="E130" s="150">
        <f t="shared" si="55"/>
        <v>17476146.558986489</v>
      </c>
      <c r="F130" s="150">
        <f t="shared" si="55"/>
        <v>18367429.921484601</v>
      </c>
      <c r="G130" s="150">
        <f t="shared" si="55"/>
        <v>19065361.238963872</v>
      </c>
      <c r="H130" s="149">
        <f t="shared" si="55"/>
        <v>479807.00950061041</v>
      </c>
      <c r="I130" s="149">
        <f t="shared" si="55"/>
        <v>486811.63478090806</v>
      </c>
      <c r="J130" s="149">
        <f t="shared" si="55"/>
        <v>491112.72182103246</v>
      </c>
      <c r="K130" s="149">
        <f>SUM(K126:K129)</f>
        <v>115153.68228014649</v>
      </c>
      <c r="L130" s="149">
        <f t="shared" si="55"/>
        <v>116834.79234741796</v>
      </c>
      <c r="M130" s="149">
        <f t="shared" si="55"/>
        <v>117867.05323704777</v>
      </c>
      <c r="N130" s="151" t="s">
        <v>333</v>
      </c>
      <c r="O130" s="151" t="s">
        <v>333</v>
      </c>
      <c r="P130" s="149">
        <f>SUM(P126:P129)</f>
        <v>23613439.672036938</v>
      </c>
      <c r="Q130" s="149">
        <f t="shared" ref="Q130" si="56">SUM(Q126:Q129)</f>
        <v>23958170.990617983</v>
      </c>
      <c r="R130" s="149">
        <f t="shared" ref="R130" si="57">SUM(R126:R129)</f>
        <v>24169845.628360935</v>
      </c>
      <c r="S130" s="149">
        <f t="shared" ref="S130" si="58">SUM(S126:S129)</f>
        <v>18122920.625686958</v>
      </c>
      <c r="T130" s="149">
        <f t="shared" ref="T130" si="59">SUM(T126:T129)</f>
        <v>18387496.494289421</v>
      </c>
      <c r="U130" s="149">
        <f t="shared" ref="U130" si="60">SUM(U126:U129)</f>
        <v>18549953.13642811</v>
      </c>
      <c r="V130" s="149">
        <f t="shared" ref="V130" si="61">SUM(V126:V129)</f>
        <v>5490519.046349979</v>
      </c>
      <c r="W130" s="149">
        <f t="shared" ref="W130" si="62">SUM(W126:W129)</f>
        <v>5570674.4963285625</v>
      </c>
      <c r="X130" s="149">
        <f t="shared" ref="X130" si="63">SUM(X126:X129)</f>
        <v>5619892.4919328243</v>
      </c>
      <c r="Y130" s="149">
        <f t="shared" ref="Y130" si="64">SUM(Y126:Y129)</f>
        <v>16681086.034611363</v>
      </c>
      <c r="Z130" s="118">
        <f t="shared" ref="Z130" si="65">SUM(Z126:Z129)</f>
        <v>107.62643897244905</v>
      </c>
      <c r="AA130" s="118"/>
    </row>
    <row r="131" spans="1:27" x14ac:dyDescent="0.3">
      <c r="A131" s="83"/>
      <c r="N131" s="119"/>
      <c r="O131" s="119"/>
    </row>
    <row r="132" spans="1:27" x14ac:dyDescent="0.3">
      <c r="A132" s="83"/>
      <c r="N132" s="119"/>
      <c r="O132" s="119"/>
    </row>
  </sheetData>
  <sheetProtection algorithmName="SHA-512" hashValue="BdMcnrinr+3YatqyM3FOnqlgdONsvaKSMwjnuYfohpHxJPnIC2gRZQKvB2pX+HXzvdp8FNpca5L30813bTT6RQ==" saltValue="LNQV2RlkK9E2P7QwS7XotA==" spinCount="100000" sheet="1" objects="1" scenarios="1"/>
  <mergeCells count="9">
    <mergeCell ref="A3:A4"/>
    <mergeCell ref="AB3:AC4"/>
    <mergeCell ref="S3:U3"/>
    <mergeCell ref="V3:X3"/>
    <mergeCell ref="B3:D3"/>
    <mergeCell ref="H3:J3"/>
    <mergeCell ref="K3:M3"/>
    <mergeCell ref="E3:G3"/>
    <mergeCell ref="P3:R3"/>
  </mergeCells>
  <phoneticPr fontId="4" type="noConversion"/>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A6549-45FF-4F48-8141-4D1CB1C9BFA8}">
  <dimension ref="A2:E146"/>
  <sheetViews>
    <sheetView zoomScale="85" zoomScaleNormal="85" workbookViewId="0">
      <pane ySplit="2" topLeftCell="A3" activePane="bottomLeft" state="frozen"/>
      <selection pane="bottomLeft" activeCell="E34" sqref="E34"/>
    </sheetView>
  </sheetViews>
  <sheetFormatPr defaultColWidth="8.90625" defaultRowHeight="14.5" x14ac:dyDescent="0.35"/>
  <cols>
    <col min="1" max="1" width="22.1796875" style="4" bestFit="1" customWidth="1"/>
    <col min="2" max="4" width="14.36328125" style="4" bestFit="1" customWidth="1"/>
    <col min="5" max="5" width="15.453125" style="183" customWidth="1"/>
    <col min="6" max="16384" width="8.90625" style="4"/>
  </cols>
  <sheetData>
    <row r="2" spans="1:5" s="47" customFormat="1" ht="26.5" x14ac:dyDescent="0.35">
      <c r="A2" s="152" t="s">
        <v>169</v>
      </c>
      <c r="B2" s="152" t="s">
        <v>170</v>
      </c>
      <c r="C2" s="152" t="s">
        <v>435</v>
      </c>
      <c r="D2" s="152" t="s">
        <v>436</v>
      </c>
      <c r="E2" s="184" t="s">
        <v>381</v>
      </c>
    </row>
    <row r="3" spans="1:5" x14ac:dyDescent="0.35">
      <c r="A3" s="48" t="s">
        <v>1</v>
      </c>
      <c r="B3" s="48" t="s">
        <v>1</v>
      </c>
      <c r="C3" s="48" t="s">
        <v>155</v>
      </c>
      <c r="D3" s="48" t="s">
        <v>438</v>
      </c>
      <c r="E3" s="48">
        <v>304</v>
      </c>
    </row>
    <row r="4" spans="1:5" x14ac:dyDescent="0.35">
      <c r="A4" s="48" t="s">
        <v>2</v>
      </c>
      <c r="B4" s="48" t="s">
        <v>2</v>
      </c>
      <c r="C4" s="48" t="s">
        <v>156</v>
      </c>
      <c r="D4" s="48" t="s">
        <v>437</v>
      </c>
      <c r="E4" s="48">
        <v>72</v>
      </c>
    </row>
    <row r="5" spans="1:5" x14ac:dyDescent="0.35">
      <c r="A5" s="48" t="s">
        <v>5</v>
      </c>
      <c r="B5" s="48" t="s">
        <v>5</v>
      </c>
      <c r="C5" s="48" t="s">
        <v>157</v>
      </c>
      <c r="D5" s="48" t="s">
        <v>438</v>
      </c>
      <c r="E5" s="48">
        <v>60</v>
      </c>
    </row>
    <row r="6" spans="1:5" x14ac:dyDescent="0.35">
      <c r="A6" s="48" t="s">
        <v>3</v>
      </c>
      <c r="B6" s="48" t="s">
        <v>51</v>
      </c>
      <c r="C6" s="48" t="s">
        <v>158</v>
      </c>
      <c r="D6" s="48" t="s">
        <v>437</v>
      </c>
      <c r="E6" s="48">
        <v>25</v>
      </c>
    </row>
    <row r="7" spans="1:5" x14ac:dyDescent="0.35">
      <c r="A7" s="48" t="s">
        <v>4</v>
      </c>
      <c r="B7" s="48" t="s">
        <v>4</v>
      </c>
      <c r="C7" s="48" t="s">
        <v>159</v>
      </c>
      <c r="D7" s="48" t="s">
        <v>440</v>
      </c>
      <c r="E7" s="48">
        <v>101</v>
      </c>
    </row>
    <row r="8" spans="1:5" x14ac:dyDescent="0.35">
      <c r="A8" s="48" t="s">
        <v>6</v>
      </c>
      <c r="B8" s="48" t="s">
        <v>6</v>
      </c>
      <c r="C8" s="48" t="s">
        <v>6</v>
      </c>
      <c r="D8" s="48" t="s">
        <v>176</v>
      </c>
      <c r="E8" s="48">
        <v>68</v>
      </c>
    </row>
    <row r="9" spans="1:5" x14ac:dyDescent="0.35">
      <c r="A9" s="48" t="s">
        <v>7</v>
      </c>
      <c r="B9" s="48" t="s">
        <v>7</v>
      </c>
      <c r="C9" s="48" t="s">
        <v>160</v>
      </c>
      <c r="D9" s="48" t="s">
        <v>437</v>
      </c>
      <c r="E9" s="48">
        <v>18</v>
      </c>
    </row>
    <row r="10" spans="1:5" x14ac:dyDescent="0.35">
      <c r="A10" s="48" t="s">
        <v>8</v>
      </c>
      <c r="B10" s="48" t="s">
        <v>442</v>
      </c>
      <c r="C10" s="48" t="s">
        <v>161</v>
      </c>
      <c r="D10" s="48" t="s">
        <v>439</v>
      </c>
      <c r="E10" s="48">
        <v>19</v>
      </c>
    </row>
    <row r="11" spans="1:5" x14ac:dyDescent="0.35">
      <c r="A11" s="48" t="s">
        <v>9</v>
      </c>
      <c r="B11" s="48" t="s">
        <v>9</v>
      </c>
      <c r="C11" s="48" t="s">
        <v>162</v>
      </c>
      <c r="D11" s="48" t="s">
        <v>440</v>
      </c>
      <c r="E11" s="48">
        <v>58</v>
      </c>
    </row>
    <row r="12" spans="1:5" x14ac:dyDescent="0.35">
      <c r="A12" s="48" t="s">
        <v>10</v>
      </c>
      <c r="B12" s="48" t="s">
        <v>82</v>
      </c>
      <c r="C12" s="48" t="s">
        <v>156</v>
      </c>
      <c r="D12" s="48" t="s">
        <v>437</v>
      </c>
      <c r="E12" s="48">
        <v>393</v>
      </c>
    </row>
    <row r="13" spans="1:5" x14ac:dyDescent="0.35">
      <c r="A13" s="48" t="s">
        <v>11</v>
      </c>
      <c r="B13" s="48" t="s">
        <v>11</v>
      </c>
      <c r="C13" s="48" t="s">
        <v>158</v>
      </c>
      <c r="D13" s="48" t="s">
        <v>438</v>
      </c>
      <c r="E13" s="48">
        <v>102</v>
      </c>
    </row>
    <row r="14" spans="1:5" ht="20" x14ac:dyDescent="0.35">
      <c r="A14" s="48" t="s">
        <v>12</v>
      </c>
      <c r="B14" s="48" t="s">
        <v>441</v>
      </c>
      <c r="C14" s="48" t="s">
        <v>6</v>
      </c>
      <c r="D14" s="48" t="s">
        <v>176</v>
      </c>
      <c r="E14" s="48">
        <v>640</v>
      </c>
    </row>
    <row r="15" spans="1:5" x14ac:dyDescent="0.35">
      <c r="A15" s="48" t="s">
        <v>13</v>
      </c>
      <c r="B15" s="48" t="s">
        <v>51</v>
      </c>
      <c r="C15" s="48" t="s">
        <v>158</v>
      </c>
      <c r="D15" s="48" t="s">
        <v>437</v>
      </c>
      <c r="E15" s="48">
        <v>285</v>
      </c>
    </row>
    <row r="16" spans="1:5" x14ac:dyDescent="0.35">
      <c r="A16" s="48" t="s">
        <v>14</v>
      </c>
      <c r="B16" s="48" t="s">
        <v>63</v>
      </c>
      <c r="C16" s="48" t="s">
        <v>161</v>
      </c>
      <c r="D16" s="48" t="s">
        <v>439</v>
      </c>
      <c r="E16" s="48">
        <v>631</v>
      </c>
    </row>
    <row r="17" spans="1:5" x14ac:dyDescent="0.35">
      <c r="A17" s="48" t="s">
        <v>15</v>
      </c>
      <c r="B17" s="48" t="s">
        <v>59</v>
      </c>
      <c r="C17" s="48" t="s">
        <v>162</v>
      </c>
      <c r="D17" s="48" t="s">
        <v>440</v>
      </c>
      <c r="E17" s="48">
        <v>191</v>
      </c>
    </row>
    <row r="18" spans="1:5" x14ac:dyDescent="0.35">
      <c r="A18" s="48" t="s">
        <v>16</v>
      </c>
      <c r="B18" s="48" t="s">
        <v>16</v>
      </c>
      <c r="C18" s="48" t="s">
        <v>165</v>
      </c>
      <c r="D18" s="48" t="s">
        <v>439</v>
      </c>
      <c r="E18" s="48">
        <v>1698</v>
      </c>
    </row>
    <row r="19" spans="1:5" x14ac:dyDescent="0.35">
      <c r="A19" s="48" t="s">
        <v>17</v>
      </c>
      <c r="B19" s="48" t="s">
        <v>31</v>
      </c>
      <c r="C19" s="48" t="s">
        <v>161</v>
      </c>
      <c r="D19" s="48" t="s">
        <v>439</v>
      </c>
      <c r="E19" s="48">
        <v>745</v>
      </c>
    </row>
    <row r="20" spans="1:5" x14ac:dyDescent="0.35">
      <c r="A20" s="48" t="s">
        <v>18</v>
      </c>
      <c r="B20" s="48" t="s">
        <v>103</v>
      </c>
      <c r="C20" s="48" t="s">
        <v>165</v>
      </c>
      <c r="D20" s="48" t="s">
        <v>439</v>
      </c>
      <c r="E20" s="48">
        <v>545</v>
      </c>
    </row>
    <row r="21" spans="1:5" x14ac:dyDescent="0.35">
      <c r="A21" s="48" t="s">
        <v>19</v>
      </c>
      <c r="B21" s="48" t="s">
        <v>35</v>
      </c>
      <c r="C21" s="48" t="s">
        <v>157</v>
      </c>
      <c r="D21" s="48" t="s">
        <v>438</v>
      </c>
      <c r="E21" s="48">
        <v>517</v>
      </c>
    </row>
    <row r="22" spans="1:5" x14ac:dyDescent="0.35">
      <c r="A22" s="48" t="s">
        <v>20</v>
      </c>
      <c r="B22" s="48" t="s">
        <v>20</v>
      </c>
      <c r="C22" s="48" t="s">
        <v>155</v>
      </c>
      <c r="D22" s="48" t="s">
        <v>438</v>
      </c>
      <c r="E22" s="48">
        <v>163</v>
      </c>
    </row>
    <row r="23" spans="1:5" x14ac:dyDescent="0.35">
      <c r="A23" s="48" t="s">
        <v>21</v>
      </c>
      <c r="B23" s="48" t="s">
        <v>71</v>
      </c>
      <c r="C23" s="48" t="s">
        <v>155</v>
      </c>
      <c r="D23" s="48" t="s">
        <v>438</v>
      </c>
      <c r="E23" s="48">
        <v>243</v>
      </c>
    </row>
    <row r="24" spans="1:5" x14ac:dyDescent="0.35">
      <c r="A24" s="48" t="s">
        <v>22</v>
      </c>
      <c r="B24" s="48" t="s">
        <v>61</v>
      </c>
      <c r="C24" s="48" t="s">
        <v>155</v>
      </c>
      <c r="D24" s="48" t="s">
        <v>438</v>
      </c>
      <c r="E24" s="48">
        <v>179</v>
      </c>
    </row>
    <row r="25" spans="1:5" x14ac:dyDescent="0.35">
      <c r="A25" s="48" t="s">
        <v>23</v>
      </c>
      <c r="B25" s="48" t="s">
        <v>24</v>
      </c>
      <c r="C25" s="48" t="s">
        <v>165</v>
      </c>
      <c r="D25" s="48" t="s">
        <v>439</v>
      </c>
      <c r="E25" s="48">
        <v>186</v>
      </c>
    </row>
    <row r="26" spans="1:5" x14ac:dyDescent="0.35">
      <c r="A26" s="48" t="s">
        <v>24</v>
      </c>
      <c r="B26" s="48" t="s">
        <v>24</v>
      </c>
      <c r="C26" s="48" t="s">
        <v>165</v>
      </c>
      <c r="D26" s="48" t="s">
        <v>439</v>
      </c>
      <c r="E26" s="48">
        <v>1045</v>
      </c>
    </row>
    <row r="27" spans="1:5" x14ac:dyDescent="0.35">
      <c r="A27" s="48" t="s">
        <v>25</v>
      </c>
      <c r="B27" s="48" t="s">
        <v>25</v>
      </c>
      <c r="C27" s="48" t="s">
        <v>157</v>
      </c>
      <c r="D27" s="48" t="s">
        <v>438</v>
      </c>
      <c r="E27" s="48">
        <v>786</v>
      </c>
    </row>
    <row r="28" spans="1:5" x14ac:dyDescent="0.35">
      <c r="A28" s="48" t="s">
        <v>26</v>
      </c>
      <c r="B28" s="48" t="s">
        <v>442</v>
      </c>
      <c r="C28" s="48" t="s">
        <v>161</v>
      </c>
      <c r="D28" s="48" t="s">
        <v>439</v>
      </c>
      <c r="E28" s="48">
        <v>301</v>
      </c>
    </row>
    <row r="29" spans="1:5" x14ac:dyDescent="0.35">
      <c r="A29" s="48" t="s">
        <v>27</v>
      </c>
      <c r="B29" s="48" t="s">
        <v>97</v>
      </c>
      <c r="C29" s="48" t="s">
        <v>6</v>
      </c>
      <c r="D29" s="48" t="s">
        <v>176</v>
      </c>
      <c r="E29" s="48">
        <v>496</v>
      </c>
    </row>
    <row r="30" spans="1:5" x14ac:dyDescent="0.35">
      <c r="A30" s="48" t="s">
        <v>28</v>
      </c>
      <c r="B30" s="48" t="s">
        <v>442</v>
      </c>
      <c r="C30" s="48" t="s">
        <v>161</v>
      </c>
      <c r="D30" s="48" t="s">
        <v>439</v>
      </c>
      <c r="E30" s="48">
        <v>702</v>
      </c>
    </row>
    <row r="31" spans="1:5" x14ac:dyDescent="0.35">
      <c r="A31" s="48" t="s">
        <v>29</v>
      </c>
      <c r="B31" s="48" t="s">
        <v>20</v>
      </c>
      <c r="C31" s="48" t="s">
        <v>155</v>
      </c>
      <c r="D31" s="48" t="s">
        <v>438</v>
      </c>
      <c r="E31" s="48">
        <v>81</v>
      </c>
    </row>
    <row r="32" spans="1:5" x14ac:dyDescent="0.35">
      <c r="A32" s="48" t="s">
        <v>30</v>
      </c>
      <c r="B32" s="48" t="s">
        <v>68</v>
      </c>
      <c r="C32" s="48" t="s">
        <v>158</v>
      </c>
      <c r="D32" s="48" t="s">
        <v>439</v>
      </c>
      <c r="E32" s="48">
        <v>190</v>
      </c>
    </row>
    <row r="33" spans="1:5" x14ac:dyDescent="0.35">
      <c r="A33" s="48" t="s">
        <v>31</v>
      </c>
      <c r="B33" s="48" t="s">
        <v>31</v>
      </c>
      <c r="C33" s="48" t="s">
        <v>161</v>
      </c>
      <c r="D33" s="48" t="s">
        <v>439</v>
      </c>
      <c r="E33" s="48">
        <v>173</v>
      </c>
    </row>
    <row r="34" spans="1:5" x14ac:dyDescent="0.35">
      <c r="A34" s="48" t="s">
        <v>32</v>
      </c>
      <c r="B34" s="48" t="s">
        <v>67</v>
      </c>
      <c r="C34" s="48" t="s">
        <v>160</v>
      </c>
      <c r="D34" s="48" t="s">
        <v>437</v>
      </c>
      <c r="E34" s="48">
        <v>510</v>
      </c>
    </row>
    <row r="35" spans="1:5" x14ac:dyDescent="0.35">
      <c r="A35" s="48" t="s">
        <v>33</v>
      </c>
      <c r="B35" s="48" t="s">
        <v>56</v>
      </c>
      <c r="C35" s="48" t="s">
        <v>156</v>
      </c>
      <c r="D35" s="48" t="s">
        <v>437</v>
      </c>
      <c r="E35" s="48">
        <v>950</v>
      </c>
    </row>
    <row r="36" spans="1:5" ht="20" x14ac:dyDescent="0.35">
      <c r="A36" s="48" t="s">
        <v>34</v>
      </c>
      <c r="B36" s="48" t="s">
        <v>443</v>
      </c>
      <c r="C36" s="48" t="s">
        <v>156</v>
      </c>
      <c r="D36" s="48" t="s">
        <v>437</v>
      </c>
      <c r="E36" s="48">
        <v>1876</v>
      </c>
    </row>
    <row r="37" spans="1:5" x14ac:dyDescent="0.35">
      <c r="A37" s="48" t="s">
        <v>35</v>
      </c>
      <c r="B37" s="48" t="s">
        <v>35</v>
      </c>
      <c r="C37" s="48" t="s">
        <v>157</v>
      </c>
      <c r="D37" s="48" t="s">
        <v>438</v>
      </c>
      <c r="E37" s="48">
        <v>888</v>
      </c>
    </row>
    <row r="38" spans="1:5" x14ac:dyDescent="0.35">
      <c r="A38" s="48" t="s">
        <v>36</v>
      </c>
      <c r="B38" s="48" t="s">
        <v>106</v>
      </c>
      <c r="C38" s="48" t="s">
        <v>159</v>
      </c>
      <c r="D38" s="48" t="s">
        <v>440</v>
      </c>
      <c r="E38" s="48">
        <v>676</v>
      </c>
    </row>
    <row r="39" spans="1:5" ht="20" x14ac:dyDescent="0.35">
      <c r="A39" s="48" t="s">
        <v>37</v>
      </c>
      <c r="B39" s="48" t="s">
        <v>441</v>
      </c>
      <c r="C39" s="48" t="s">
        <v>6</v>
      </c>
      <c r="D39" s="48" t="s">
        <v>176</v>
      </c>
      <c r="E39" s="48">
        <v>320</v>
      </c>
    </row>
    <row r="40" spans="1:5" x14ac:dyDescent="0.35">
      <c r="A40" s="48" t="s">
        <v>38</v>
      </c>
      <c r="B40" s="48" t="s">
        <v>108</v>
      </c>
      <c r="C40" s="48" t="s">
        <v>159</v>
      </c>
      <c r="D40" s="48" t="s">
        <v>440</v>
      </c>
      <c r="E40" s="48">
        <v>396</v>
      </c>
    </row>
    <row r="41" spans="1:5" x14ac:dyDescent="0.35">
      <c r="A41" s="48" t="s">
        <v>39</v>
      </c>
      <c r="B41" s="48" t="s">
        <v>68</v>
      </c>
      <c r="C41" s="48" t="s">
        <v>158</v>
      </c>
      <c r="D41" s="48" t="s">
        <v>439</v>
      </c>
      <c r="E41" s="48">
        <v>379</v>
      </c>
    </row>
    <row r="42" spans="1:5" x14ac:dyDescent="0.35">
      <c r="A42" s="48" t="s">
        <v>40</v>
      </c>
      <c r="B42" s="48" t="s">
        <v>89</v>
      </c>
      <c r="C42" s="48" t="s">
        <v>155</v>
      </c>
      <c r="D42" s="48" t="s">
        <v>438</v>
      </c>
      <c r="E42" s="48">
        <v>152</v>
      </c>
    </row>
    <row r="43" spans="1:5" ht="20" x14ac:dyDescent="0.35">
      <c r="A43" s="48" t="s">
        <v>41</v>
      </c>
      <c r="B43" s="48" t="s">
        <v>441</v>
      </c>
      <c r="C43" s="48" t="s">
        <v>6</v>
      </c>
      <c r="D43" s="48" t="s">
        <v>176</v>
      </c>
      <c r="E43" s="48">
        <v>490</v>
      </c>
    </row>
    <row r="44" spans="1:5" x14ac:dyDescent="0.35">
      <c r="A44" s="48" t="s">
        <v>42</v>
      </c>
      <c r="B44" s="48" t="s">
        <v>42</v>
      </c>
      <c r="C44" s="48" t="s">
        <v>165</v>
      </c>
      <c r="D44" s="48" t="s">
        <v>439</v>
      </c>
      <c r="E44" s="48">
        <v>1872</v>
      </c>
    </row>
    <row r="45" spans="1:5" x14ac:dyDescent="0.35">
      <c r="A45" s="48" t="s">
        <v>43</v>
      </c>
      <c r="B45" s="48" t="s">
        <v>25</v>
      </c>
      <c r="C45" s="48" t="s">
        <v>157</v>
      </c>
      <c r="D45" s="48" t="s">
        <v>438</v>
      </c>
      <c r="E45" s="48">
        <v>312</v>
      </c>
    </row>
    <row r="46" spans="1:5" x14ac:dyDescent="0.35">
      <c r="A46" s="48" t="s">
        <v>44</v>
      </c>
      <c r="B46" s="48" t="s">
        <v>76</v>
      </c>
      <c r="C46" s="48" t="s">
        <v>155</v>
      </c>
      <c r="D46" s="48" t="s">
        <v>438</v>
      </c>
      <c r="E46" s="48">
        <v>131</v>
      </c>
    </row>
    <row r="47" spans="1:5" ht="20" x14ac:dyDescent="0.35">
      <c r="A47" s="48" t="s">
        <v>45</v>
      </c>
      <c r="B47" s="48" t="s">
        <v>443</v>
      </c>
      <c r="C47" s="48" t="s">
        <v>156</v>
      </c>
      <c r="D47" s="48" t="s">
        <v>437</v>
      </c>
      <c r="E47" s="48">
        <v>647</v>
      </c>
    </row>
    <row r="48" spans="1:5" x14ac:dyDescent="0.35">
      <c r="A48" s="48" t="s">
        <v>46</v>
      </c>
      <c r="B48" s="48" t="s">
        <v>100</v>
      </c>
      <c r="C48" s="48" t="s">
        <v>155</v>
      </c>
      <c r="D48" s="48" t="s">
        <v>438</v>
      </c>
      <c r="E48" s="48">
        <v>112</v>
      </c>
    </row>
    <row r="49" spans="1:5" x14ac:dyDescent="0.35">
      <c r="A49" s="48" t="s">
        <v>47</v>
      </c>
      <c r="B49" s="48" t="s">
        <v>11</v>
      </c>
      <c r="C49" s="48" t="s">
        <v>158</v>
      </c>
      <c r="D49" s="48" t="s">
        <v>438</v>
      </c>
      <c r="E49" s="48">
        <v>684</v>
      </c>
    </row>
    <row r="50" spans="1:5" x14ac:dyDescent="0.35">
      <c r="A50" s="48" t="s">
        <v>48</v>
      </c>
      <c r="B50" s="48" t="s">
        <v>31</v>
      </c>
      <c r="C50" s="48" t="s">
        <v>161</v>
      </c>
      <c r="D50" s="48" t="s">
        <v>439</v>
      </c>
      <c r="E50" s="48">
        <v>251</v>
      </c>
    </row>
    <row r="51" spans="1:5" x14ac:dyDescent="0.35">
      <c r="A51" s="48" t="s">
        <v>49</v>
      </c>
      <c r="B51" s="48" t="s">
        <v>108</v>
      </c>
      <c r="C51" s="48" t="s">
        <v>159</v>
      </c>
      <c r="D51" s="48" t="s">
        <v>440</v>
      </c>
      <c r="E51" s="48">
        <v>209</v>
      </c>
    </row>
    <row r="52" spans="1:5" x14ac:dyDescent="0.35">
      <c r="A52" s="48" t="s">
        <v>50</v>
      </c>
      <c r="B52" s="48" t="s">
        <v>50</v>
      </c>
      <c r="C52" s="48" t="s">
        <v>157</v>
      </c>
      <c r="D52" s="48" t="s">
        <v>438</v>
      </c>
      <c r="E52" s="48">
        <v>1317</v>
      </c>
    </row>
    <row r="53" spans="1:5" x14ac:dyDescent="0.35">
      <c r="A53" s="48" t="s">
        <v>51</v>
      </c>
      <c r="B53" s="48" t="s">
        <v>51</v>
      </c>
      <c r="C53" s="48" t="s">
        <v>158</v>
      </c>
      <c r="D53" s="48" t="s">
        <v>437</v>
      </c>
      <c r="E53" s="48">
        <v>905</v>
      </c>
    </row>
    <row r="54" spans="1:5" x14ac:dyDescent="0.35">
      <c r="A54" s="48" t="s">
        <v>52</v>
      </c>
      <c r="B54" s="48" t="s">
        <v>108</v>
      </c>
      <c r="C54" s="48" t="s">
        <v>159</v>
      </c>
      <c r="D54" s="48" t="s">
        <v>440</v>
      </c>
      <c r="E54" s="48">
        <v>649</v>
      </c>
    </row>
    <row r="55" spans="1:5" x14ac:dyDescent="0.35">
      <c r="A55" s="48" t="s">
        <v>53</v>
      </c>
      <c r="B55" s="48" t="s">
        <v>67</v>
      </c>
      <c r="C55" s="48" t="s">
        <v>160</v>
      </c>
      <c r="D55" s="48" t="s">
        <v>437</v>
      </c>
      <c r="E55" s="48">
        <v>628</v>
      </c>
    </row>
    <row r="56" spans="1:5" x14ac:dyDescent="0.35">
      <c r="A56" s="48" t="s">
        <v>54</v>
      </c>
      <c r="B56" s="48" t="s">
        <v>442</v>
      </c>
      <c r="C56" s="48" t="s">
        <v>161</v>
      </c>
      <c r="D56" s="48" t="s">
        <v>439</v>
      </c>
      <c r="E56" s="48">
        <v>499</v>
      </c>
    </row>
    <row r="57" spans="1:5" x14ac:dyDescent="0.35">
      <c r="A57" s="48" t="s">
        <v>55</v>
      </c>
      <c r="B57" s="48" t="s">
        <v>11</v>
      </c>
      <c r="C57" s="48" t="s">
        <v>158</v>
      </c>
      <c r="D57" s="48" t="s">
        <v>438</v>
      </c>
      <c r="E57" s="48">
        <v>361</v>
      </c>
    </row>
    <row r="58" spans="1:5" x14ac:dyDescent="0.35">
      <c r="A58" s="48" t="s">
        <v>56</v>
      </c>
      <c r="B58" s="48" t="s">
        <v>56</v>
      </c>
      <c r="C58" s="48" t="s">
        <v>156</v>
      </c>
      <c r="D58" s="48" t="s">
        <v>437</v>
      </c>
      <c r="E58" s="48">
        <v>1079</v>
      </c>
    </row>
    <row r="59" spans="1:5" x14ac:dyDescent="0.35">
      <c r="A59" s="48" t="s">
        <v>57</v>
      </c>
      <c r="B59" s="48" t="s">
        <v>100</v>
      </c>
      <c r="C59" s="48" t="s">
        <v>161</v>
      </c>
      <c r="D59" s="48" t="s">
        <v>438</v>
      </c>
      <c r="E59" s="48">
        <v>341</v>
      </c>
    </row>
    <row r="60" spans="1:5" x14ac:dyDescent="0.35">
      <c r="A60" s="48" t="s">
        <v>58</v>
      </c>
      <c r="B60" s="48" t="s">
        <v>51</v>
      </c>
      <c r="C60" s="48" t="s">
        <v>158</v>
      </c>
      <c r="D60" s="48" t="s">
        <v>437</v>
      </c>
      <c r="E60" s="48">
        <v>811</v>
      </c>
    </row>
    <row r="61" spans="1:5" x14ac:dyDescent="0.35">
      <c r="A61" s="48" t="s">
        <v>59</v>
      </c>
      <c r="B61" s="48" t="s">
        <v>59</v>
      </c>
      <c r="C61" s="48" t="s">
        <v>162</v>
      </c>
      <c r="D61" s="48" t="s">
        <v>440</v>
      </c>
      <c r="E61" s="48">
        <v>1757</v>
      </c>
    </row>
    <row r="62" spans="1:5" x14ac:dyDescent="0.35">
      <c r="A62" s="48" t="s">
        <v>60</v>
      </c>
      <c r="B62" s="48" t="s">
        <v>76</v>
      </c>
      <c r="C62" s="48" t="s">
        <v>155</v>
      </c>
      <c r="D62" s="48" t="s">
        <v>438</v>
      </c>
      <c r="E62" s="48">
        <v>492</v>
      </c>
    </row>
    <row r="63" spans="1:5" x14ac:dyDescent="0.35">
      <c r="A63" s="48" t="s">
        <v>61</v>
      </c>
      <c r="B63" s="48" t="s">
        <v>61</v>
      </c>
      <c r="C63" s="48" t="s">
        <v>155</v>
      </c>
      <c r="D63" s="48" t="s">
        <v>438</v>
      </c>
      <c r="E63" s="48">
        <v>275</v>
      </c>
    </row>
    <row r="64" spans="1:5" x14ac:dyDescent="0.35">
      <c r="A64" s="48" t="s">
        <v>62</v>
      </c>
      <c r="B64" s="48" t="s">
        <v>76</v>
      </c>
      <c r="C64" s="48" t="s">
        <v>155</v>
      </c>
      <c r="D64" s="48" t="s">
        <v>438</v>
      </c>
      <c r="E64" s="48">
        <v>225</v>
      </c>
    </row>
    <row r="65" spans="1:5" x14ac:dyDescent="0.35">
      <c r="A65" s="48" t="s">
        <v>63</v>
      </c>
      <c r="B65" s="48" t="s">
        <v>63</v>
      </c>
      <c r="C65" s="48" t="s">
        <v>158</v>
      </c>
      <c r="D65" s="48" t="s">
        <v>439</v>
      </c>
      <c r="E65" s="48">
        <v>1170</v>
      </c>
    </row>
    <row r="66" spans="1:5" x14ac:dyDescent="0.35">
      <c r="A66" s="48" t="s">
        <v>64</v>
      </c>
      <c r="B66" s="48" t="s">
        <v>31</v>
      </c>
      <c r="C66" s="48" t="s">
        <v>161</v>
      </c>
      <c r="D66" s="48" t="s">
        <v>439</v>
      </c>
      <c r="E66" s="48">
        <v>168</v>
      </c>
    </row>
    <row r="67" spans="1:5" x14ac:dyDescent="0.35">
      <c r="A67" s="48" t="s">
        <v>65</v>
      </c>
      <c r="B67" s="48" t="s">
        <v>65</v>
      </c>
      <c r="C67" s="48" t="s">
        <v>156</v>
      </c>
      <c r="D67" s="48" t="s">
        <v>437</v>
      </c>
      <c r="E67" s="48">
        <v>622</v>
      </c>
    </row>
    <row r="68" spans="1:5" x14ac:dyDescent="0.35">
      <c r="A68" s="48" t="s">
        <v>66</v>
      </c>
      <c r="B68" s="48" t="s">
        <v>68</v>
      </c>
      <c r="C68" s="48" t="s">
        <v>165</v>
      </c>
      <c r="D68" s="48" t="s">
        <v>439</v>
      </c>
      <c r="E68" s="48">
        <v>347</v>
      </c>
    </row>
    <row r="69" spans="1:5" x14ac:dyDescent="0.35">
      <c r="A69" s="48" t="s">
        <v>67</v>
      </c>
      <c r="B69" s="48" t="s">
        <v>67</v>
      </c>
      <c r="C69" s="48" t="s">
        <v>160</v>
      </c>
      <c r="D69" s="48" t="s">
        <v>437</v>
      </c>
      <c r="E69" s="48">
        <v>965</v>
      </c>
    </row>
    <row r="70" spans="1:5" x14ac:dyDescent="0.35">
      <c r="A70" s="48" t="s">
        <v>68</v>
      </c>
      <c r="B70" s="48" t="s">
        <v>68</v>
      </c>
      <c r="C70" s="48" t="s">
        <v>158</v>
      </c>
      <c r="D70" s="48" t="s">
        <v>439</v>
      </c>
      <c r="E70" s="48">
        <v>2159</v>
      </c>
    </row>
    <row r="71" spans="1:5" x14ac:dyDescent="0.35">
      <c r="A71" s="48" t="s">
        <v>69</v>
      </c>
      <c r="B71" s="48" t="s">
        <v>442</v>
      </c>
      <c r="C71" s="48" t="s">
        <v>161</v>
      </c>
      <c r="D71" s="48" t="s">
        <v>439</v>
      </c>
      <c r="E71" s="48">
        <v>417</v>
      </c>
    </row>
    <row r="72" spans="1:5" x14ac:dyDescent="0.35">
      <c r="A72" s="48" t="s">
        <v>70</v>
      </c>
      <c r="B72" s="48" t="s">
        <v>100</v>
      </c>
      <c r="C72" s="48" t="s">
        <v>155</v>
      </c>
      <c r="D72" s="48" t="s">
        <v>438</v>
      </c>
      <c r="E72" s="48">
        <v>221</v>
      </c>
    </row>
    <row r="73" spans="1:5" x14ac:dyDescent="0.35">
      <c r="A73" s="48" t="s">
        <v>71</v>
      </c>
      <c r="B73" s="48" t="s">
        <v>71</v>
      </c>
      <c r="C73" s="48" t="s">
        <v>155</v>
      </c>
      <c r="D73" s="48" t="s">
        <v>438</v>
      </c>
      <c r="E73" s="48">
        <v>104</v>
      </c>
    </row>
    <row r="74" spans="1:5" x14ac:dyDescent="0.35">
      <c r="A74" s="48" t="s">
        <v>72</v>
      </c>
      <c r="B74" s="48" t="s">
        <v>106</v>
      </c>
      <c r="C74" s="48" t="s">
        <v>159</v>
      </c>
      <c r="D74" s="48" t="s">
        <v>440</v>
      </c>
      <c r="E74" s="48">
        <v>110</v>
      </c>
    </row>
    <row r="75" spans="1:5" x14ac:dyDescent="0.35">
      <c r="A75" s="48" t="s">
        <v>73</v>
      </c>
      <c r="B75" s="48" t="s">
        <v>442</v>
      </c>
      <c r="C75" s="48" t="s">
        <v>161</v>
      </c>
      <c r="D75" s="48" t="s">
        <v>439</v>
      </c>
      <c r="E75" s="48">
        <v>281</v>
      </c>
    </row>
    <row r="76" spans="1:5" x14ac:dyDescent="0.35">
      <c r="A76" s="48" t="s">
        <v>74</v>
      </c>
      <c r="B76" s="48" t="s">
        <v>11</v>
      </c>
      <c r="C76" s="48" t="s">
        <v>158</v>
      </c>
      <c r="D76" s="48" t="s">
        <v>438</v>
      </c>
      <c r="E76" s="48">
        <v>645</v>
      </c>
    </row>
    <row r="77" spans="1:5" ht="20" x14ac:dyDescent="0.35">
      <c r="A77" s="48" t="s">
        <v>75</v>
      </c>
      <c r="B77" s="48" t="s">
        <v>441</v>
      </c>
      <c r="C77" s="48" t="s">
        <v>6</v>
      </c>
      <c r="D77" s="48" t="s">
        <v>176</v>
      </c>
      <c r="E77" s="48">
        <v>351</v>
      </c>
    </row>
    <row r="78" spans="1:5" x14ac:dyDescent="0.35">
      <c r="A78" s="48" t="s">
        <v>76</v>
      </c>
      <c r="B78" s="48" t="s">
        <v>76</v>
      </c>
      <c r="C78" s="48" t="s">
        <v>167</v>
      </c>
      <c r="D78" s="48" t="s">
        <v>438</v>
      </c>
      <c r="E78" s="48">
        <v>990</v>
      </c>
    </row>
    <row r="79" spans="1:5" x14ac:dyDescent="0.35">
      <c r="A79" s="48" t="s">
        <v>77</v>
      </c>
      <c r="B79" s="48" t="s">
        <v>77</v>
      </c>
      <c r="C79" s="48" t="s">
        <v>155</v>
      </c>
      <c r="D79" s="48" t="s">
        <v>438</v>
      </c>
      <c r="E79" s="48">
        <v>298</v>
      </c>
    </row>
    <row r="80" spans="1:5" x14ac:dyDescent="0.35">
      <c r="A80" s="48" t="s">
        <v>78</v>
      </c>
      <c r="B80" s="48" t="s">
        <v>50</v>
      </c>
      <c r="C80" s="48" t="s">
        <v>157</v>
      </c>
      <c r="D80" s="48" t="s">
        <v>438</v>
      </c>
      <c r="E80" s="48">
        <v>286</v>
      </c>
    </row>
    <row r="81" spans="1:5" x14ac:dyDescent="0.35">
      <c r="A81" s="48" t="s">
        <v>79</v>
      </c>
      <c r="B81" s="48" t="s">
        <v>31</v>
      </c>
      <c r="C81" s="48" t="s">
        <v>161</v>
      </c>
      <c r="D81" s="48" t="s">
        <v>439</v>
      </c>
      <c r="E81" s="48">
        <v>486</v>
      </c>
    </row>
    <row r="82" spans="1:5" ht="20" x14ac:dyDescent="0.35">
      <c r="A82" s="48" t="s">
        <v>80</v>
      </c>
      <c r="B82" s="48" t="s">
        <v>441</v>
      </c>
      <c r="C82" s="48" t="s">
        <v>6</v>
      </c>
      <c r="D82" s="48" t="s">
        <v>176</v>
      </c>
      <c r="E82" s="48">
        <v>515</v>
      </c>
    </row>
    <row r="83" spans="1:5" x14ac:dyDescent="0.35">
      <c r="A83" s="48" t="s">
        <v>81</v>
      </c>
      <c r="B83" s="48" t="s">
        <v>11</v>
      </c>
      <c r="C83" s="48" t="s">
        <v>158</v>
      </c>
      <c r="D83" s="48" t="s">
        <v>438</v>
      </c>
      <c r="E83" s="48">
        <v>376</v>
      </c>
    </row>
    <row r="84" spans="1:5" x14ac:dyDescent="0.35">
      <c r="A84" s="48" t="s">
        <v>82</v>
      </c>
      <c r="B84" s="48" t="s">
        <v>82</v>
      </c>
      <c r="C84" s="48" t="s">
        <v>156</v>
      </c>
      <c r="D84" s="48" t="s">
        <v>437</v>
      </c>
      <c r="E84" s="48">
        <v>364</v>
      </c>
    </row>
    <row r="85" spans="1:5" ht="20" x14ac:dyDescent="0.35">
      <c r="A85" s="48" t="s">
        <v>83</v>
      </c>
      <c r="B85" s="48" t="s">
        <v>441</v>
      </c>
      <c r="C85" s="48" t="s">
        <v>6</v>
      </c>
      <c r="D85" s="48" t="s">
        <v>176</v>
      </c>
      <c r="E85" s="48">
        <v>520</v>
      </c>
    </row>
    <row r="86" spans="1:5" x14ac:dyDescent="0.35">
      <c r="A86" s="48" t="s">
        <v>84</v>
      </c>
      <c r="B86" s="48" t="s">
        <v>31</v>
      </c>
      <c r="C86" s="48" t="s">
        <v>161</v>
      </c>
      <c r="D86" s="48" t="s">
        <v>439</v>
      </c>
      <c r="E86" s="48">
        <v>301</v>
      </c>
    </row>
    <row r="87" spans="1:5" x14ac:dyDescent="0.35">
      <c r="A87" s="48" t="s">
        <v>85</v>
      </c>
      <c r="B87" s="48" t="s">
        <v>103</v>
      </c>
      <c r="C87" s="48" t="s">
        <v>161</v>
      </c>
      <c r="D87" s="48" t="s">
        <v>439</v>
      </c>
      <c r="E87" s="48">
        <v>309</v>
      </c>
    </row>
    <row r="88" spans="1:5" x14ac:dyDescent="0.35">
      <c r="A88" s="48" t="s">
        <v>86</v>
      </c>
      <c r="B88" s="48" t="s">
        <v>86</v>
      </c>
      <c r="C88" s="48" t="s">
        <v>160</v>
      </c>
      <c r="D88" s="48" t="s">
        <v>437</v>
      </c>
      <c r="E88" s="48">
        <v>2525</v>
      </c>
    </row>
    <row r="89" spans="1:5" x14ac:dyDescent="0.35">
      <c r="A89" s="48" t="s">
        <v>87</v>
      </c>
      <c r="B89" s="48" t="s">
        <v>82</v>
      </c>
      <c r="C89" s="48" t="s">
        <v>156</v>
      </c>
      <c r="D89" s="48" t="s">
        <v>437</v>
      </c>
      <c r="E89" s="48">
        <v>630</v>
      </c>
    </row>
    <row r="90" spans="1:5" x14ac:dyDescent="0.35">
      <c r="A90" s="48" t="s">
        <v>88</v>
      </c>
      <c r="B90" s="48" t="s">
        <v>106</v>
      </c>
      <c r="C90" s="48" t="s">
        <v>159</v>
      </c>
      <c r="D90" s="48" t="s">
        <v>440</v>
      </c>
      <c r="E90" s="48">
        <v>200</v>
      </c>
    </row>
    <row r="91" spans="1:5" x14ac:dyDescent="0.35">
      <c r="A91" s="48" t="s">
        <v>89</v>
      </c>
      <c r="B91" s="48" t="s">
        <v>89</v>
      </c>
      <c r="C91" s="48" t="s">
        <v>155</v>
      </c>
      <c r="D91" s="48" t="s">
        <v>438</v>
      </c>
      <c r="E91" s="48">
        <v>325</v>
      </c>
    </row>
    <row r="92" spans="1:5" ht="20" x14ac:dyDescent="0.35">
      <c r="A92" s="48" t="s">
        <v>90</v>
      </c>
      <c r="B92" s="48" t="s">
        <v>441</v>
      </c>
      <c r="C92" s="48" t="s">
        <v>6</v>
      </c>
      <c r="D92" s="48" t="s">
        <v>176</v>
      </c>
      <c r="E92" s="48">
        <v>448</v>
      </c>
    </row>
    <row r="93" spans="1:5" x14ac:dyDescent="0.35">
      <c r="A93" s="48" t="s">
        <v>91</v>
      </c>
      <c r="B93" s="48" t="s">
        <v>24</v>
      </c>
      <c r="C93" s="48" t="s">
        <v>165</v>
      </c>
      <c r="D93" s="48" t="s">
        <v>439</v>
      </c>
      <c r="E93" s="48">
        <v>515</v>
      </c>
    </row>
    <row r="94" spans="1:5" x14ac:dyDescent="0.35">
      <c r="A94" s="48" t="s">
        <v>92</v>
      </c>
      <c r="B94" s="48" t="s">
        <v>25</v>
      </c>
      <c r="C94" s="48" t="s">
        <v>157</v>
      </c>
      <c r="D94" s="48" t="s">
        <v>438</v>
      </c>
      <c r="E94" s="48">
        <v>231</v>
      </c>
    </row>
    <row r="95" spans="1:5" x14ac:dyDescent="0.35">
      <c r="A95" s="48" t="s">
        <v>93</v>
      </c>
      <c r="B95" s="48" t="s">
        <v>442</v>
      </c>
      <c r="C95" s="48" t="s">
        <v>161</v>
      </c>
      <c r="D95" s="48" t="s">
        <v>439</v>
      </c>
      <c r="E95" s="48">
        <v>353</v>
      </c>
    </row>
    <row r="96" spans="1:5" x14ac:dyDescent="0.35">
      <c r="A96" s="48" t="s">
        <v>94</v>
      </c>
      <c r="B96" s="48" t="s">
        <v>63</v>
      </c>
      <c r="C96" s="48" t="s">
        <v>161</v>
      </c>
      <c r="D96" s="48" t="s">
        <v>439</v>
      </c>
      <c r="E96" s="48">
        <v>638</v>
      </c>
    </row>
    <row r="97" spans="1:5" x14ac:dyDescent="0.35">
      <c r="A97" s="48" t="s">
        <v>95</v>
      </c>
      <c r="B97" s="48" t="s">
        <v>51</v>
      </c>
      <c r="C97" s="48" t="s">
        <v>158</v>
      </c>
      <c r="D97" s="48" t="s">
        <v>437</v>
      </c>
      <c r="E97" s="48">
        <v>317</v>
      </c>
    </row>
    <row r="98" spans="1:5" x14ac:dyDescent="0.35">
      <c r="A98" s="48" t="s">
        <v>96</v>
      </c>
      <c r="B98" s="48" t="s">
        <v>96</v>
      </c>
      <c r="C98" s="48" t="s">
        <v>155</v>
      </c>
      <c r="D98" s="48" t="s">
        <v>438</v>
      </c>
      <c r="E98" s="48">
        <v>123</v>
      </c>
    </row>
    <row r="99" spans="1:5" x14ac:dyDescent="0.35">
      <c r="A99" s="48" t="s">
        <v>97</v>
      </c>
      <c r="B99" s="48" t="s">
        <v>97</v>
      </c>
      <c r="C99" s="48" t="s">
        <v>6</v>
      </c>
      <c r="D99" s="48" t="s">
        <v>176</v>
      </c>
      <c r="E99" s="48">
        <v>1682</v>
      </c>
    </row>
    <row r="100" spans="1:5" x14ac:dyDescent="0.35">
      <c r="A100" s="48" t="s">
        <v>98</v>
      </c>
      <c r="B100" s="48" t="s">
        <v>98</v>
      </c>
      <c r="C100" s="48" t="s">
        <v>155</v>
      </c>
      <c r="D100" s="48" t="s">
        <v>439</v>
      </c>
      <c r="E100" s="48">
        <v>48</v>
      </c>
    </row>
    <row r="101" spans="1:5" x14ac:dyDescent="0.35">
      <c r="A101" s="48" t="s">
        <v>99</v>
      </c>
      <c r="B101" s="48" t="s">
        <v>98</v>
      </c>
      <c r="C101" s="48" t="s">
        <v>155</v>
      </c>
      <c r="D101" s="48" t="s">
        <v>439</v>
      </c>
      <c r="E101" s="48">
        <v>230</v>
      </c>
    </row>
    <row r="102" spans="1:5" x14ac:dyDescent="0.35">
      <c r="A102" s="48" t="s">
        <v>100</v>
      </c>
      <c r="B102" s="48" t="s">
        <v>100</v>
      </c>
      <c r="C102" s="48" t="s">
        <v>155</v>
      </c>
      <c r="D102" s="48" t="s">
        <v>438</v>
      </c>
      <c r="E102" s="48">
        <v>361</v>
      </c>
    </row>
    <row r="103" spans="1:5" x14ac:dyDescent="0.35">
      <c r="A103" s="48" t="s">
        <v>101</v>
      </c>
      <c r="B103" s="48" t="s">
        <v>11</v>
      </c>
      <c r="C103" s="48" t="s">
        <v>158</v>
      </c>
      <c r="D103" s="48" t="s">
        <v>438</v>
      </c>
      <c r="E103" s="48">
        <v>105</v>
      </c>
    </row>
    <row r="104" spans="1:5" x14ac:dyDescent="0.35">
      <c r="A104" s="48" t="s">
        <v>102</v>
      </c>
      <c r="B104" s="48" t="s">
        <v>59</v>
      </c>
      <c r="C104" s="48" t="s">
        <v>6</v>
      </c>
      <c r="D104" s="48" t="s">
        <v>440</v>
      </c>
      <c r="E104" s="48">
        <v>557</v>
      </c>
    </row>
    <row r="105" spans="1:5" x14ac:dyDescent="0.35">
      <c r="A105" s="48" t="s">
        <v>103</v>
      </c>
      <c r="B105" s="48" t="s">
        <v>103</v>
      </c>
      <c r="C105" s="48" t="s">
        <v>161</v>
      </c>
      <c r="D105" s="48" t="s">
        <v>439</v>
      </c>
      <c r="E105" s="48">
        <v>947</v>
      </c>
    </row>
    <row r="106" spans="1:5" x14ac:dyDescent="0.35">
      <c r="A106" s="48" t="s">
        <v>104</v>
      </c>
      <c r="B106" s="48" t="s">
        <v>89</v>
      </c>
      <c r="C106" s="48" t="s">
        <v>155</v>
      </c>
      <c r="D106" s="48" t="s">
        <v>438</v>
      </c>
      <c r="E106" s="48">
        <v>53</v>
      </c>
    </row>
    <row r="107" spans="1:5" x14ac:dyDescent="0.35">
      <c r="A107" s="48" t="s">
        <v>105</v>
      </c>
      <c r="B107" s="48" t="s">
        <v>442</v>
      </c>
      <c r="C107" s="48" t="s">
        <v>161</v>
      </c>
      <c r="D107" s="48" t="s">
        <v>439</v>
      </c>
      <c r="E107" s="48">
        <v>375</v>
      </c>
    </row>
    <row r="108" spans="1:5" x14ac:dyDescent="0.35">
      <c r="A108" s="48" t="s">
        <v>106</v>
      </c>
      <c r="B108" s="48" t="s">
        <v>106</v>
      </c>
      <c r="C108" s="48" t="s">
        <v>159</v>
      </c>
      <c r="D108" s="48" t="s">
        <v>440</v>
      </c>
      <c r="E108" s="48">
        <v>1763</v>
      </c>
    </row>
    <row r="109" spans="1:5" x14ac:dyDescent="0.35">
      <c r="A109" s="48" t="s">
        <v>107</v>
      </c>
      <c r="B109" s="48" t="s">
        <v>35</v>
      </c>
      <c r="C109" s="48" t="s">
        <v>157</v>
      </c>
      <c r="D109" s="48" t="s">
        <v>438</v>
      </c>
      <c r="E109" s="48">
        <v>224</v>
      </c>
    </row>
    <row r="110" spans="1:5" x14ac:dyDescent="0.35">
      <c r="A110" s="48" t="s">
        <v>108</v>
      </c>
      <c r="B110" s="48" t="s">
        <v>108</v>
      </c>
      <c r="C110" s="48" t="s">
        <v>159</v>
      </c>
      <c r="D110" s="48" t="s">
        <v>440</v>
      </c>
      <c r="E110" s="48">
        <v>1194</v>
      </c>
    </row>
    <row r="111" spans="1:5" ht="20" x14ac:dyDescent="0.35">
      <c r="A111" s="48" t="s">
        <v>109</v>
      </c>
      <c r="B111" s="48" t="s">
        <v>441</v>
      </c>
      <c r="C111" s="48" t="s">
        <v>6</v>
      </c>
      <c r="D111" s="48" t="s">
        <v>176</v>
      </c>
      <c r="E111" s="48">
        <v>307</v>
      </c>
    </row>
    <row r="112" spans="1:5" x14ac:dyDescent="0.35">
      <c r="A112" s="48" t="s">
        <v>110</v>
      </c>
      <c r="B112" s="48" t="s">
        <v>110</v>
      </c>
      <c r="C112" s="48" t="s">
        <v>161</v>
      </c>
      <c r="D112" s="48" t="s">
        <v>439</v>
      </c>
      <c r="E112" s="48">
        <v>908</v>
      </c>
    </row>
    <row r="113" spans="1:5" x14ac:dyDescent="0.35">
      <c r="A113" s="48" t="s">
        <v>111</v>
      </c>
      <c r="B113" s="48" t="s">
        <v>111</v>
      </c>
      <c r="C113" s="48" t="s">
        <v>156</v>
      </c>
      <c r="D113" s="48" t="s">
        <v>437</v>
      </c>
      <c r="E113" s="48">
        <v>278</v>
      </c>
    </row>
    <row r="114" spans="1:5" x14ac:dyDescent="0.35">
      <c r="A114" s="48" t="s">
        <v>112</v>
      </c>
      <c r="B114" s="48" t="s">
        <v>82</v>
      </c>
      <c r="C114" s="48" t="s">
        <v>156</v>
      </c>
      <c r="D114" s="48" t="s">
        <v>437</v>
      </c>
      <c r="E114" s="48">
        <v>288</v>
      </c>
    </row>
    <row r="115" spans="1:5" x14ac:dyDescent="0.35">
      <c r="A115" s="48" t="s">
        <v>113</v>
      </c>
      <c r="B115" s="48" t="s">
        <v>31</v>
      </c>
      <c r="C115" s="48" t="s">
        <v>161</v>
      </c>
      <c r="D115" s="48" t="s">
        <v>439</v>
      </c>
      <c r="E115" s="48">
        <v>542</v>
      </c>
    </row>
    <row r="116" spans="1:5" x14ac:dyDescent="0.35">
      <c r="A116" s="48" t="s">
        <v>114</v>
      </c>
      <c r="B116" s="48" t="s">
        <v>25</v>
      </c>
      <c r="C116" s="48" t="s">
        <v>157</v>
      </c>
      <c r="D116" s="48" t="s">
        <v>438</v>
      </c>
      <c r="E116" s="48">
        <v>844</v>
      </c>
    </row>
    <row r="117" spans="1:5" x14ac:dyDescent="0.35">
      <c r="A117" s="48" t="s">
        <v>115</v>
      </c>
      <c r="B117" s="48" t="s">
        <v>115</v>
      </c>
      <c r="C117" s="48" t="s">
        <v>162</v>
      </c>
      <c r="D117" s="48" t="s">
        <v>440</v>
      </c>
      <c r="E117" s="48">
        <v>2458</v>
      </c>
    </row>
    <row r="118" spans="1:5" x14ac:dyDescent="0.35">
      <c r="A118" s="48" t="s">
        <v>116</v>
      </c>
      <c r="B118" s="48" t="s">
        <v>51</v>
      </c>
      <c r="C118" s="48" t="s">
        <v>158</v>
      </c>
      <c r="D118" s="48" t="s">
        <v>437</v>
      </c>
      <c r="E118" s="48">
        <v>651</v>
      </c>
    </row>
    <row r="119" spans="1:5" x14ac:dyDescent="0.35">
      <c r="A119" s="48" t="s">
        <v>117</v>
      </c>
      <c r="B119" s="48" t="s">
        <v>24</v>
      </c>
      <c r="C119" s="48" t="s">
        <v>165</v>
      </c>
      <c r="D119" s="48" t="s">
        <v>439</v>
      </c>
      <c r="E119" s="48">
        <v>641</v>
      </c>
    </row>
    <row r="120" spans="1:5" x14ac:dyDescent="0.35">
      <c r="A120" s="48" t="s">
        <v>118</v>
      </c>
      <c r="B120" s="48" t="s">
        <v>86</v>
      </c>
      <c r="C120" s="48" t="s">
        <v>160</v>
      </c>
      <c r="D120" s="48" t="s">
        <v>437</v>
      </c>
      <c r="E120" s="48">
        <v>287</v>
      </c>
    </row>
    <row r="121" spans="1:5" x14ac:dyDescent="0.35">
      <c r="A121" s="48" t="s">
        <v>119</v>
      </c>
      <c r="B121" s="48" t="s">
        <v>67</v>
      </c>
      <c r="C121" s="48" t="s">
        <v>160</v>
      </c>
      <c r="D121" s="48" t="s">
        <v>437</v>
      </c>
      <c r="E121" s="48">
        <v>309</v>
      </c>
    </row>
    <row r="127" spans="1:5" s="41" customFormat="1" x14ac:dyDescent="0.35">
      <c r="E127" s="185"/>
    </row>
    <row r="128" spans="1:5" s="41" customFormat="1" x14ac:dyDescent="0.35">
      <c r="E128" s="185"/>
    </row>
    <row r="129" spans="5:5" s="41" customFormat="1" x14ac:dyDescent="0.35">
      <c r="E129" s="185"/>
    </row>
    <row r="130" spans="5:5" s="41" customFormat="1" x14ac:dyDescent="0.35">
      <c r="E130" s="185"/>
    </row>
    <row r="131" spans="5:5" s="41" customFormat="1" x14ac:dyDescent="0.35">
      <c r="E131" s="185"/>
    </row>
    <row r="132" spans="5:5" s="41" customFormat="1" x14ac:dyDescent="0.35">
      <c r="E132" s="185"/>
    </row>
    <row r="133" spans="5:5" s="41" customFormat="1" x14ac:dyDescent="0.35">
      <c r="E133" s="185"/>
    </row>
    <row r="134" spans="5:5" s="41" customFormat="1" x14ac:dyDescent="0.35">
      <c r="E134" s="185"/>
    </row>
    <row r="135" spans="5:5" s="41" customFormat="1" x14ac:dyDescent="0.35">
      <c r="E135" s="185"/>
    </row>
    <row r="136" spans="5:5" s="41" customFormat="1" x14ac:dyDescent="0.35">
      <c r="E136" s="185"/>
    </row>
    <row r="137" spans="5:5" s="41" customFormat="1" x14ac:dyDescent="0.35">
      <c r="E137" s="185"/>
    </row>
    <row r="138" spans="5:5" s="41" customFormat="1" x14ac:dyDescent="0.35">
      <c r="E138" s="185"/>
    </row>
    <row r="139" spans="5:5" s="41" customFormat="1" x14ac:dyDescent="0.35">
      <c r="E139" s="185"/>
    </row>
    <row r="140" spans="5:5" s="41" customFormat="1" x14ac:dyDescent="0.35">
      <c r="E140" s="185"/>
    </row>
    <row r="141" spans="5:5" s="41" customFormat="1" x14ac:dyDescent="0.35">
      <c r="E141" s="185"/>
    </row>
    <row r="142" spans="5:5" s="41" customFormat="1" x14ac:dyDescent="0.35">
      <c r="E142" s="185"/>
    </row>
    <row r="143" spans="5:5" s="41" customFormat="1" x14ac:dyDescent="0.35">
      <c r="E143" s="185"/>
    </row>
    <row r="144" spans="5:5" s="41" customFormat="1" x14ac:dyDescent="0.35">
      <c r="E144" s="185"/>
    </row>
    <row r="145" spans="5:5" s="41" customFormat="1" x14ac:dyDescent="0.35">
      <c r="E145" s="185"/>
    </row>
    <row r="146" spans="5:5" s="41" customFormat="1" x14ac:dyDescent="0.35">
      <c r="E146" s="185"/>
    </row>
  </sheetData>
  <autoFilter ref="A2:E121" xr:uid="{F01A6549-45FF-4F48-8141-4D1CB1C9BFA8}"/>
  <phoneticPr fontId="4" type="noConversion"/>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27B4-D3C5-41F0-857B-64B43803D834}">
  <dimension ref="A1:AK175"/>
  <sheetViews>
    <sheetView topLeftCell="F1" zoomScale="85" zoomScaleNormal="85" workbookViewId="0">
      <selection activeCell="B3" sqref="B3:R3"/>
    </sheetView>
  </sheetViews>
  <sheetFormatPr defaultColWidth="8.90625" defaultRowHeight="14.5" x14ac:dyDescent="0.35"/>
  <cols>
    <col min="1" max="1" width="30.1796875" style="52" bestFit="1" customWidth="1"/>
    <col min="2" max="2" width="23.08984375" style="52" customWidth="1"/>
    <col min="3" max="3" width="11.54296875" style="52" hidden="1" customWidth="1"/>
    <col min="4" max="4" width="11.54296875" style="52" bestFit="1" customWidth="1"/>
    <col min="5" max="11" width="11.453125" style="52" bestFit="1" customWidth="1"/>
    <col min="12" max="12" width="10" style="52" customWidth="1"/>
    <col min="13" max="13" width="24.08984375" style="52" customWidth="1"/>
    <col min="14" max="15" width="3.36328125" style="52" customWidth="1"/>
    <col min="16" max="16" width="12" style="52" bestFit="1" customWidth="1"/>
    <col min="17" max="17" width="10" style="52" bestFit="1" customWidth="1"/>
    <col min="18" max="24" width="8.90625" style="52"/>
    <col min="25" max="25" width="9.90625" style="52" customWidth="1"/>
    <col min="26" max="26" width="0" style="52" hidden="1" customWidth="1"/>
    <col min="27" max="27" width="8.90625" style="52"/>
    <col min="28" max="28" width="26.453125" style="52" bestFit="1" customWidth="1"/>
    <col min="29" max="32" width="11.6328125" style="52" bestFit="1" customWidth="1"/>
    <col min="33" max="16384" width="8.90625" style="52"/>
  </cols>
  <sheetData>
    <row r="1" spans="1:37" ht="26" x14ac:dyDescent="0.6">
      <c r="A1" s="58" t="s">
        <v>279</v>
      </c>
    </row>
    <row r="2" spans="1:37" ht="43.25" customHeight="1" x14ac:dyDescent="0.35">
      <c r="A2" s="59"/>
      <c r="B2" s="60"/>
      <c r="C2" s="61"/>
      <c r="D2" s="213" t="s">
        <v>380</v>
      </c>
      <c r="E2" s="213"/>
      <c r="F2" s="213"/>
      <c r="G2" s="213"/>
      <c r="H2" s="213"/>
      <c r="I2" s="213"/>
      <c r="J2" s="213"/>
      <c r="K2" s="213"/>
      <c r="L2" s="213"/>
      <c r="M2" s="62" t="s">
        <v>269</v>
      </c>
      <c r="P2" s="63" t="s">
        <v>382</v>
      </c>
      <c r="Q2" s="212" t="s">
        <v>290</v>
      </c>
      <c r="R2" s="212"/>
      <c r="S2" s="212"/>
      <c r="T2" s="212"/>
      <c r="U2" s="212"/>
      <c r="V2" s="212"/>
      <c r="W2" s="212"/>
      <c r="X2" s="212"/>
      <c r="Y2" s="63" t="s">
        <v>289</v>
      </c>
      <c r="AB2" s="53" t="s">
        <v>383</v>
      </c>
    </row>
    <row r="3" spans="1:37" x14ac:dyDescent="0.35">
      <c r="A3" s="63" t="s">
        <v>314</v>
      </c>
      <c r="B3" s="63" t="s">
        <v>315</v>
      </c>
      <c r="C3" s="64"/>
      <c r="D3" s="64">
        <v>2013</v>
      </c>
      <c r="E3" s="64">
        <v>2014</v>
      </c>
      <c r="F3" s="64">
        <v>2015</v>
      </c>
      <c r="G3" s="64">
        <v>2016</v>
      </c>
      <c r="H3" s="64">
        <v>2017</v>
      </c>
      <c r="I3" s="64">
        <v>2018</v>
      </c>
      <c r="J3" s="64">
        <v>2019</v>
      </c>
      <c r="K3" s="64">
        <v>2020</v>
      </c>
      <c r="L3" s="64">
        <v>2021</v>
      </c>
      <c r="M3" s="64">
        <v>2030</v>
      </c>
      <c r="P3" s="64">
        <v>2021</v>
      </c>
      <c r="Q3" s="64">
        <v>2022</v>
      </c>
      <c r="R3" s="64">
        <v>2023</v>
      </c>
      <c r="S3" s="64">
        <v>2024</v>
      </c>
      <c r="T3" s="64">
        <v>2025</v>
      </c>
      <c r="U3" s="64">
        <v>2026</v>
      </c>
      <c r="V3" s="64">
        <v>2027</v>
      </c>
      <c r="W3" s="64">
        <v>2028</v>
      </c>
      <c r="X3" s="64">
        <v>2029</v>
      </c>
      <c r="Y3" s="64">
        <v>2030</v>
      </c>
      <c r="Z3" s="52" t="s">
        <v>314</v>
      </c>
      <c r="AB3" s="4" t="s">
        <v>316</v>
      </c>
      <c r="AC3" s="4" t="s">
        <v>318</v>
      </c>
      <c r="AD3" s="4" t="s">
        <v>319</v>
      </c>
      <c r="AE3" s="4" t="s">
        <v>320</v>
      </c>
      <c r="AF3" s="4" t="s">
        <v>321</v>
      </c>
      <c r="AG3" s="4" t="s">
        <v>322</v>
      </c>
      <c r="AH3" s="4" t="s">
        <v>323</v>
      </c>
      <c r="AI3" s="4" t="s">
        <v>324</v>
      </c>
      <c r="AJ3" s="4" t="s">
        <v>325</v>
      </c>
      <c r="AK3" s="4" t="s">
        <v>326</v>
      </c>
    </row>
    <row r="4" spans="1:37" x14ac:dyDescent="0.35">
      <c r="A4" s="60" t="s">
        <v>327</v>
      </c>
      <c r="B4" s="59" t="s">
        <v>278</v>
      </c>
      <c r="C4" s="65"/>
      <c r="D4" s="65">
        <v>2023825</v>
      </c>
      <c r="E4" s="65">
        <v>2001468</v>
      </c>
      <c r="F4" s="65">
        <v>1986096</v>
      </c>
      <c r="G4" s="65">
        <v>1968957</v>
      </c>
      <c r="H4" s="65">
        <v>1950116</v>
      </c>
      <c r="I4" s="65">
        <v>1934379</v>
      </c>
      <c r="J4" s="65">
        <v>1919968</v>
      </c>
      <c r="K4" s="65">
        <v>1907675</v>
      </c>
      <c r="L4" s="65">
        <v>1893223</v>
      </c>
      <c r="M4" s="60">
        <v>1742028</v>
      </c>
      <c r="P4" s="65">
        <f t="shared" ref="P4:P35" si="0">L4</f>
        <v>1893223</v>
      </c>
      <c r="Q4" s="65">
        <f t="shared" ref="Q4:X5" si="1">ROUND((_xlfn.FORECAST.LINEAR(Q$3,$L4:$M4,$L$3:$M$3)),0)</f>
        <v>1876424</v>
      </c>
      <c r="R4" s="65">
        <f t="shared" si="1"/>
        <v>1859624</v>
      </c>
      <c r="S4" s="65">
        <f t="shared" si="1"/>
        <v>1842825</v>
      </c>
      <c r="T4" s="65">
        <f t="shared" si="1"/>
        <v>1826025</v>
      </c>
      <c r="U4" s="65">
        <f t="shared" si="1"/>
        <v>1809226</v>
      </c>
      <c r="V4" s="65">
        <f t="shared" si="1"/>
        <v>1792426</v>
      </c>
      <c r="W4" s="65">
        <f t="shared" si="1"/>
        <v>1775627</v>
      </c>
      <c r="X4" s="65">
        <f t="shared" si="1"/>
        <v>1758827</v>
      </c>
      <c r="Y4" s="60">
        <f>M4</f>
        <v>1742028</v>
      </c>
      <c r="Z4" s="52" t="s">
        <v>327</v>
      </c>
      <c r="AB4" s="56" t="s">
        <v>2</v>
      </c>
      <c r="AC4" s="57">
        <v>89184</v>
      </c>
      <c r="AD4" s="57">
        <v>87403</v>
      </c>
      <c r="AE4" s="57">
        <v>86435</v>
      </c>
      <c r="AF4" s="57">
        <v>85858</v>
      </c>
      <c r="AG4" s="57">
        <v>84592</v>
      </c>
      <c r="AH4" s="57">
        <v>83250</v>
      </c>
      <c r="AI4" s="57">
        <v>82604</v>
      </c>
      <c r="AJ4" s="57">
        <v>81587</v>
      </c>
      <c r="AK4" s="57">
        <v>80627</v>
      </c>
    </row>
    <row r="5" spans="1:37" x14ac:dyDescent="0.35">
      <c r="A5" s="66" t="s">
        <v>1</v>
      </c>
      <c r="B5" s="59" t="s">
        <v>1</v>
      </c>
      <c r="C5" s="65"/>
      <c r="D5" s="65">
        <v>643615</v>
      </c>
      <c r="E5" s="65">
        <v>643368</v>
      </c>
      <c r="F5" s="65">
        <v>641007</v>
      </c>
      <c r="G5" s="65">
        <v>639630</v>
      </c>
      <c r="H5" s="65">
        <v>641423</v>
      </c>
      <c r="I5" s="65">
        <v>637971</v>
      </c>
      <c r="J5" s="65">
        <v>632614</v>
      </c>
      <c r="K5" s="65">
        <v>621120</v>
      </c>
      <c r="L5" s="65">
        <v>614618</v>
      </c>
      <c r="M5" s="67">
        <v>625000</v>
      </c>
      <c r="P5" s="65">
        <f t="shared" si="0"/>
        <v>614618</v>
      </c>
      <c r="Q5" s="65">
        <f t="shared" si="1"/>
        <v>615772</v>
      </c>
      <c r="R5" s="65">
        <f t="shared" si="1"/>
        <v>616925</v>
      </c>
      <c r="S5" s="65">
        <f t="shared" si="1"/>
        <v>618079</v>
      </c>
      <c r="T5" s="65">
        <f t="shared" si="1"/>
        <v>619232</v>
      </c>
      <c r="U5" s="65">
        <f t="shared" si="1"/>
        <v>620386</v>
      </c>
      <c r="V5" s="65">
        <f t="shared" si="1"/>
        <v>621539</v>
      </c>
      <c r="W5" s="65">
        <f t="shared" si="1"/>
        <v>622693</v>
      </c>
      <c r="X5" s="65">
        <f t="shared" si="1"/>
        <v>623846</v>
      </c>
      <c r="Y5" s="60">
        <f t="shared" ref="Y5:Y68" si="2">M5</f>
        <v>625000</v>
      </c>
      <c r="Z5" s="52" t="s">
        <v>1</v>
      </c>
      <c r="AB5" s="56" t="s">
        <v>5</v>
      </c>
      <c r="AC5" s="57">
        <v>57773</v>
      </c>
      <c r="AD5" s="57">
        <v>57332</v>
      </c>
      <c r="AE5" s="57">
        <v>57180</v>
      </c>
      <c r="AF5" s="57">
        <v>57053</v>
      </c>
      <c r="AG5" s="57">
        <v>56743</v>
      </c>
      <c r="AH5" s="57">
        <v>56383</v>
      </c>
      <c r="AI5" s="57">
        <v>55972</v>
      </c>
      <c r="AJ5" s="57">
        <v>55517</v>
      </c>
      <c r="AK5" s="57">
        <v>55336</v>
      </c>
    </row>
    <row r="6" spans="1:37" x14ac:dyDescent="0.35">
      <c r="A6" s="66" t="s">
        <v>2</v>
      </c>
      <c r="B6" s="59" t="s">
        <v>2</v>
      </c>
      <c r="C6" s="65"/>
      <c r="D6" s="65">
        <v>89184</v>
      </c>
      <c r="E6" s="65">
        <v>87403</v>
      </c>
      <c r="F6" s="65">
        <v>86435</v>
      </c>
      <c r="G6" s="65">
        <v>85858</v>
      </c>
      <c r="H6" s="65">
        <v>84592</v>
      </c>
      <c r="I6" s="65">
        <v>83250</v>
      </c>
      <c r="J6" s="65">
        <v>82604</v>
      </c>
      <c r="K6" s="65">
        <v>81587</v>
      </c>
      <c r="L6" s="65">
        <v>80627</v>
      </c>
      <c r="M6" s="67">
        <v>67039</v>
      </c>
      <c r="P6" s="65">
        <f t="shared" si="0"/>
        <v>80627</v>
      </c>
      <c r="Q6" s="65">
        <f t="shared" ref="Q6:X37" si="3">ROUND((_xlfn.FORECAST.LINEAR(Q$3,$L6:$M6,$L$3:$M$3)),0)</f>
        <v>79117</v>
      </c>
      <c r="R6" s="65">
        <f t="shared" ref="R6:X19" si="4">ROUND((_xlfn.FORECAST.LINEAR(R$3,$L6:$M6,$L$3:$M$3)),0)</f>
        <v>77607</v>
      </c>
      <c r="S6" s="65">
        <f t="shared" si="4"/>
        <v>76098</v>
      </c>
      <c r="T6" s="65">
        <f t="shared" si="4"/>
        <v>74588</v>
      </c>
      <c r="U6" s="65">
        <f t="shared" si="4"/>
        <v>73078</v>
      </c>
      <c r="V6" s="65">
        <f t="shared" si="4"/>
        <v>71568</v>
      </c>
      <c r="W6" s="65">
        <f t="shared" si="4"/>
        <v>70059</v>
      </c>
      <c r="X6" s="65">
        <f t="shared" si="4"/>
        <v>68549</v>
      </c>
      <c r="Y6" s="60">
        <f t="shared" si="2"/>
        <v>67039</v>
      </c>
      <c r="Z6" s="52" t="s">
        <v>2</v>
      </c>
      <c r="AB6" s="56" t="s">
        <v>3</v>
      </c>
      <c r="AC6" s="57">
        <v>23834</v>
      </c>
      <c r="AD6" s="57">
        <v>23269</v>
      </c>
      <c r="AE6" s="57">
        <v>23019</v>
      </c>
      <c r="AF6" s="57">
        <v>22750</v>
      </c>
      <c r="AG6" s="57">
        <v>22412</v>
      </c>
      <c r="AH6" s="57">
        <v>22188</v>
      </c>
      <c r="AI6" s="57">
        <v>22076</v>
      </c>
      <c r="AJ6" s="57">
        <v>21836</v>
      </c>
      <c r="AK6" s="57">
        <v>21629</v>
      </c>
    </row>
    <row r="7" spans="1:37" x14ac:dyDescent="0.35">
      <c r="A7" s="66" t="s">
        <v>3</v>
      </c>
      <c r="B7" s="59" t="s">
        <v>3</v>
      </c>
      <c r="C7" s="65"/>
      <c r="D7" s="65">
        <v>23834</v>
      </c>
      <c r="E7" s="65">
        <v>23269</v>
      </c>
      <c r="F7" s="65">
        <v>23019</v>
      </c>
      <c r="G7" s="65">
        <v>22750</v>
      </c>
      <c r="H7" s="65">
        <v>22412</v>
      </c>
      <c r="I7" s="65">
        <v>22188</v>
      </c>
      <c r="J7" s="65">
        <v>22076</v>
      </c>
      <c r="K7" s="65">
        <v>21836</v>
      </c>
      <c r="L7" s="65">
        <v>21629</v>
      </c>
      <c r="M7" s="67">
        <v>18315</v>
      </c>
      <c r="P7" s="65">
        <f t="shared" si="0"/>
        <v>21629</v>
      </c>
      <c r="Q7" s="65">
        <f t="shared" si="3"/>
        <v>21261</v>
      </c>
      <c r="R7" s="65">
        <f t="shared" si="4"/>
        <v>20893</v>
      </c>
      <c r="S7" s="65">
        <f t="shared" si="4"/>
        <v>20524</v>
      </c>
      <c r="T7" s="65">
        <f t="shared" si="4"/>
        <v>20156</v>
      </c>
      <c r="U7" s="65">
        <f t="shared" si="4"/>
        <v>19788</v>
      </c>
      <c r="V7" s="65">
        <f t="shared" si="4"/>
        <v>19420</v>
      </c>
      <c r="W7" s="65">
        <f t="shared" si="4"/>
        <v>19051</v>
      </c>
      <c r="X7" s="65">
        <f t="shared" si="4"/>
        <v>18683</v>
      </c>
      <c r="Y7" s="60">
        <f t="shared" si="2"/>
        <v>18315</v>
      </c>
      <c r="Z7" s="52" t="s">
        <v>3</v>
      </c>
      <c r="AB7" s="56" t="s">
        <v>4</v>
      </c>
      <c r="AC7" s="57">
        <v>50481</v>
      </c>
      <c r="AD7" s="57">
        <v>49750</v>
      </c>
      <c r="AE7" s="57">
        <v>49646</v>
      </c>
      <c r="AF7" s="57">
        <v>49182</v>
      </c>
      <c r="AG7" s="57">
        <v>48606</v>
      </c>
      <c r="AH7" s="57">
        <v>49073</v>
      </c>
      <c r="AI7" s="57">
        <v>49325</v>
      </c>
      <c r="AJ7" s="57">
        <v>49985</v>
      </c>
      <c r="AK7" s="57">
        <v>50248</v>
      </c>
    </row>
    <row r="8" spans="1:37" x14ac:dyDescent="0.35">
      <c r="A8" s="66" t="s">
        <v>4</v>
      </c>
      <c r="B8" s="59" t="s">
        <v>4</v>
      </c>
      <c r="C8" s="65"/>
      <c r="D8" s="65">
        <v>50481</v>
      </c>
      <c r="E8" s="65">
        <v>49750</v>
      </c>
      <c r="F8" s="65">
        <v>49646</v>
      </c>
      <c r="G8" s="65">
        <v>49182</v>
      </c>
      <c r="H8" s="65">
        <v>48606</v>
      </c>
      <c r="I8" s="65">
        <v>49073</v>
      </c>
      <c r="J8" s="65">
        <v>49325</v>
      </c>
      <c r="K8" s="65">
        <v>49985</v>
      </c>
      <c r="L8" s="65">
        <v>50248</v>
      </c>
      <c r="M8" s="67">
        <v>46404</v>
      </c>
      <c r="P8" s="65">
        <f t="shared" si="0"/>
        <v>50248</v>
      </c>
      <c r="Q8" s="65">
        <f t="shared" si="3"/>
        <v>49821</v>
      </c>
      <c r="R8" s="65">
        <f t="shared" si="4"/>
        <v>49394</v>
      </c>
      <c r="S8" s="65">
        <f t="shared" si="4"/>
        <v>48967</v>
      </c>
      <c r="T8" s="65">
        <f t="shared" si="4"/>
        <v>48540</v>
      </c>
      <c r="U8" s="65">
        <f t="shared" si="4"/>
        <v>48112</v>
      </c>
      <c r="V8" s="65">
        <f t="shared" si="4"/>
        <v>47685</v>
      </c>
      <c r="W8" s="65">
        <f t="shared" si="4"/>
        <v>47258</v>
      </c>
      <c r="X8" s="65">
        <f t="shared" si="4"/>
        <v>46831</v>
      </c>
      <c r="Y8" s="60">
        <f t="shared" si="2"/>
        <v>46404</v>
      </c>
      <c r="Z8" s="52" t="s">
        <v>4</v>
      </c>
      <c r="AB8" s="56" t="s">
        <v>293</v>
      </c>
      <c r="AC8" s="57">
        <v>151950</v>
      </c>
      <c r="AD8" s="57">
        <v>149431</v>
      </c>
      <c r="AE8" s="57">
        <v>147323</v>
      </c>
      <c r="AF8" s="57">
        <v>144555</v>
      </c>
      <c r="AG8" s="57">
        <v>141512</v>
      </c>
      <c r="AH8" s="57">
        <v>138997</v>
      </c>
      <c r="AI8" s="57">
        <v>136791</v>
      </c>
      <c r="AJ8" s="57">
        <v>136472</v>
      </c>
      <c r="AK8" s="57">
        <v>134686</v>
      </c>
    </row>
    <row r="9" spans="1:37" x14ac:dyDescent="0.35">
      <c r="A9" s="66" t="s">
        <v>5</v>
      </c>
      <c r="B9" s="59" t="s">
        <v>5</v>
      </c>
      <c r="C9" s="65"/>
      <c r="D9" s="65">
        <v>57773</v>
      </c>
      <c r="E9" s="65">
        <v>57332</v>
      </c>
      <c r="F9" s="65">
        <v>57180</v>
      </c>
      <c r="G9" s="65">
        <v>57053</v>
      </c>
      <c r="H9" s="65">
        <v>56743</v>
      </c>
      <c r="I9" s="65">
        <v>56383</v>
      </c>
      <c r="J9" s="65">
        <v>55972</v>
      </c>
      <c r="K9" s="65">
        <v>55517</v>
      </c>
      <c r="L9" s="65">
        <v>55336</v>
      </c>
      <c r="M9" s="67">
        <v>51280</v>
      </c>
      <c r="P9" s="65">
        <f t="shared" si="0"/>
        <v>55336</v>
      </c>
      <c r="Q9" s="65">
        <f t="shared" si="3"/>
        <v>54885</v>
      </c>
      <c r="R9" s="65">
        <f t="shared" si="4"/>
        <v>54435</v>
      </c>
      <c r="S9" s="65">
        <f t="shared" si="4"/>
        <v>53984</v>
      </c>
      <c r="T9" s="65">
        <f t="shared" si="4"/>
        <v>53533</v>
      </c>
      <c r="U9" s="65">
        <f t="shared" si="4"/>
        <v>53083</v>
      </c>
      <c r="V9" s="65">
        <f t="shared" si="4"/>
        <v>52632</v>
      </c>
      <c r="W9" s="65">
        <f t="shared" si="4"/>
        <v>52181</v>
      </c>
      <c r="X9" s="65">
        <f t="shared" si="4"/>
        <v>51731</v>
      </c>
      <c r="Y9" s="60">
        <f t="shared" si="2"/>
        <v>51280</v>
      </c>
      <c r="Z9" s="52" t="s">
        <v>5</v>
      </c>
      <c r="AB9" s="56" t="s">
        <v>296</v>
      </c>
      <c r="AC9" s="57">
        <v>172734</v>
      </c>
      <c r="AD9" s="57">
        <v>168887</v>
      </c>
      <c r="AE9" s="57">
        <v>165829</v>
      </c>
      <c r="AF9" s="57">
        <v>161988</v>
      </c>
      <c r="AG9" s="57">
        <v>157445</v>
      </c>
      <c r="AH9" s="57">
        <v>153451</v>
      </c>
      <c r="AI9" s="57">
        <v>149802</v>
      </c>
      <c r="AJ9" s="57">
        <v>148501</v>
      </c>
      <c r="AK9" s="57">
        <v>145216</v>
      </c>
    </row>
    <row r="10" spans="1:37" x14ac:dyDescent="0.35">
      <c r="A10" s="66" t="s">
        <v>6</v>
      </c>
      <c r="B10" s="59" t="s">
        <v>6</v>
      </c>
      <c r="C10" s="65"/>
      <c r="D10" s="65">
        <v>73469</v>
      </c>
      <c r="E10" s="65">
        <v>71926</v>
      </c>
      <c r="F10" s="65">
        <v>71125</v>
      </c>
      <c r="G10" s="65">
        <v>70630</v>
      </c>
      <c r="H10" s="65">
        <v>69443</v>
      </c>
      <c r="I10" s="65">
        <v>69180</v>
      </c>
      <c r="J10" s="65">
        <v>68945</v>
      </c>
      <c r="K10" s="65">
        <v>68313</v>
      </c>
      <c r="L10" s="65">
        <v>67964</v>
      </c>
      <c r="M10" s="67">
        <v>57267</v>
      </c>
      <c r="P10" s="65">
        <f t="shared" si="0"/>
        <v>67964</v>
      </c>
      <c r="Q10" s="65">
        <f t="shared" si="3"/>
        <v>66775</v>
      </c>
      <c r="R10" s="65">
        <f t="shared" si="4"/>
        <v>65587</v>
      </c>
      <c r="S10" s="65">
        <f t="shared" si="4"/>
        <v>64398</v>
      </c>
      <c r="T10" s="65">
        <f t="shared" si="4"/>
        <v>63210</v>
      </c>
      <c r="U10" s="65">
        <f t="shared" si="4"/>
        <v>62021</v>
      </c>
      <c r="V10" s="65">
        <f t="shared" si="4"/>
        <v>60833</v>
      </c>
      <c r="W10" s="65">
        <f t="shared" si="4"/>
        <v>59644</v>
      </c>
      <c r="X10" s="65">
        <f t="shared" si="4"/>
        <v>58456</v>
      </c>
      <c r="Y10" s="60">
        <f t="shared" si="2"/>
        <v>57267</v>
      </c>
      <c r="Z10" s="52" t="s">
        <v>6</v>
      </c>
      <c r="AB10" s="56" t="s">
        <v>6</v>
      </c>
      <c r="AC10" s="57">
        <v>73469</v>
      </c>
      <c r="AD10" s="57">
        <v>71926</v>
      </c>
      <c r="AE10" s="57">
        <v>71125</v>
      </c>
      <c r="AF10" s="57">
        <v>70630</v>
      </c>
      <c r="AG10" s="57">
        <v>69443</v>
      </c>
      <c r="AH10" s="57">
        <v>69180</v>
      </c>
      <c r="AI10" s="57">
        <v>68945</v>
      </c>
      <c r="AJ10" s="57">
        <v>68313</v>
      </c>
      <c r="AK10" s="57">
        <v>67964</v>
      </c>
    </row>
    <row r="11" spans="1:37" x14ac:dyDescent="0.35">
      <c r="A11" s="66" t="s">
        <v>7</v>
      </c>
      <c r="B11" s="59" t="s">
        <v>7</v>
      </c>
      <c r="C11" s="65"/>
      <c r="D11" s="65">
        <v>30756</v>
      </c>
      <c r="E11" s="65">
        <v>29948</v>
      </c>
      <c r="F11" s="65">
        <v>29317</v>
      </c>
      <c r="G11" s="65">
        <v>28692</v>
      </c>
      <c r="H11" s="65">
        <v>28174</v>
      </c>
      <c r="I11" s="65">
        <v>28156</v>
      </c>
      <c r="J11" s="65">
        <v>27820</v>
      </c>
      <c r="K11" s="65">
        <v>27100</v>
      </c>
      <c r="L11" s="65">
        <v>26839</v>
      </c>
      <c r="M11" s="67">
        <v>21662</v>
      </c>
      <c r="P11" s="65">
        <f t="shared" si="0"/>
        <v>26839</v>
      </c>
      <c r="Q11" s="65">
        <f t="shared" si="3"/>
        <v>26264</v>
      </c>
      <c r="R11" s="65">
        <f t="shared" si="4"/>
        <v>25689</v>
      </c>
      <c r="S11" s="65">
        <f t="shared" si="4"/>
        <v>25113</v>
      </c>
      <c r="T11" s="65">
        <f t="shared" si="4"/>
        <v>24538</v>
      </c>
      <c r="U11" s="65">
        <f t="shared" si="4"/>
        <v>23963</v>
      </c>
      <c r="V11" s="65">
        <f t="shared" si="4"/>
        <v>23388</v>
      </c>
      <c r="W11" s="65">
        <f t="shared" si="4"/>
        <v>22812</v>
      </c>
      <c r="X11" s="65">
        <f t="shared" si="4"/>
        <v>22237</v>
      </c>
      <c r="Y11" s="60">
        <f t="shared" si="2"/>
        <v>21662</v>
      </c>
      <c r="Z11" s="52" t="s">
        <v>7</v>
      </c>
      <c r="AB11" s="56" t="s">
        <v>292</v>
      </c>
      <c r="AC11" s="57">
        <v>319506</v>
      </c>
      <c r="AD11" s="57">
        <v>317288</v>
      </c>
      <c r="AE11" s="57">
        <v>317963</v>
      </c>
      <c r="AF11" s="57">
        <v>317165</v>
      </c>
      <c r="AG11" s="57">
        <v>316348</v>
      </c>
      <c r="AH11" s="57">
        <v>318193</v>
      </c>
      <c r="AI11" s="57">
        <v>321264</v>
      </c>
      <c r="AJ11" s="57">
        <v>325627</v>
      </c>
      <c r="AK11" s="57">
        <v>328734</v>
      </c>
    </row>
    <row r="12" spans="1:37" x14ac:dyDescent="0.35">
      <c r="A12" s="66" t="s">
        <v>8</v>
      </c>
      <c r="B12" s="59" t="s">
        <v>8</v>
      </c>
      <c r="C12" s="65"/>
      <c r="D12" s="65">
        <v>24228</v>
      </c>
      <c r="E12" s="65">
        <v>23657</v>
      </c>
      <c r="F12" s="65">
        <v>23432</v>
      </c>
      <c r="G12" s="65">
        <v>23248</v>
      </c>
      <c r="H12" s="65">
        <v>22961</v>
      </c>
      <c r="I12" s="65">
        <v>23063</v>
      </c>
      <c r="J12" s="65">
        <v>23125</v>
      </c>
      <c r="K12" s="65">
        <v>23018</v>
      </c>
      <c r="L12" s="65">
        <v>22971</v>
      </c>
      <c r="M12" s="67">
        <v>23000</v>
      </c>
      <c r="P12" s="65">
        <f t="shared" si="0"/>
        <v>22971</v>
      </c>
      <c r="Q12" s="65">
        <f t="shared" si="3"/>
        <v>22974</v>
      </c>
      <c r="R12" s="65">
        <f t="shared" si="4"/>
        <v>22977</v>
      </c>
      <c r="S12" s="65">
        <f t="shared" si="4"/>
        <v>22981</v>
      </c>
      <c r="T12" s="65">
        <f t="shared" si="4"/>
        <v>22984</v>
      </c>
      <c r="U12" s="65">
        <f t="shared" si="4"/>
        <v>22987</v>
      </c>
      <c r="V12" s="65">
        <f t="shared" si="4"/>
        <v>22990</v>
      </c>
      <c r="W12" s="65">
        <f t="shared" si="4"/>
        <v>22994</v>
      </c>
      <c r="X12" s="65">
        <f t="shared" si="4"/>
        <v>22997</v>
      </c>
      <c r="Y12" s="60">
        <f t="shared" si="2"/>
        <v>23000</v>
      </c>
      <c r="Z12" s="52" t="s">
        <v>8</v>
      </c>
      <c r="AB12" s="56" t="s">
        <v>7</v>
      </c>
      <c r="AC12" s="57">
        <v>30756</v>
      </c>
      <c r="AD12" s="57">
        <v>29948</v>
      </c>
      <c r="AE12" s="57">
        <v>29317</v>
      </c>
      <c r="AF12" s="57">
        <v>28692</v>
      </c>
      <c r="AG12" s="57">
        <v>28174</v>
      </c>
      <c r="AH12" s="57">
        <v>28156</v>
      </c>
      <c r="AI12" s="57">
        <v>27820</v>
      </c>
      <c r="AJ12" s="57">
        <v>27100</v>
      </c>
      <c r="AK12" s="57">
        <v>26839</v>
      </c>
    </row>
    <row r="13" spans="1:37" x14ac:dyDescent="0.35">
      <c r="A13" s="66" t="s">
        <v>9</v>
      </c>
      <c r="B13" s="59" t="s">
        <v>9</v>
      </c>
      <c r="C13" s="65"/>
      <c r="D13" s="65">
        <v>37336</v>
      </c>
      <c r="E13" s="65">
        <v>36677</v>
      </c>
      <c r="F13" s="65">
        <v>36274</v>
      </c>
      <c r="G13" s="65">
        <v>35903</v>
      </c>
      <c r="H13" s="65">
        <v>35362</v>
      </c>
      <c r="I13" s="65">
        <v>34855</v>
      </c>
      <c r="J13" s="65">
        <v>34377</v>
      </c>
      <c r="K13" s="65">
        <v>33799</v>
      </c>
      <c r="L13" s="65">
        <v>33372</v>
      </c>
      <c r="M13" s="67">
        <v>28680</v>
      </c>
      <c r="P13" s="65">
        <f t="shared" si="0"/>
        <v>33372</v>
      </c>
      <c r="Q13" s="65">
        <f t="shared" si="3"/>
        <v>32851</v>
      </c>
      <c r="R13" s="65">
        <f t="shared" si="4"/>
        <v>32329</v>
      </c>
      <c r="S13" s="65">
        <f t="shared" si="4"/>
        <v>31808</v>
      </c>
      <c r="T13" s="65">
        <f t="shared" si="4"/>
        <v>31287</v>
      </c>
      <c r="U13" s="65">
        <f t="shared" si="4"/>
        <v>30765</v>
      </c>
      <c r="V13" s="65">
        <f t="shared" si="4"/>
        <v>30244</v>
      </c>
      <c r="W13" s="65">
        <f t="shared" si="4"/>
        <v>29723</v>
      </c>
      <c r="X13" s="65">
        <f t="shared" si="4"/>
        <v>29201</v>
      </c>
      <c r="Y13" s="60">
        <f t="shared" si="2"/>
        <v>28680</v>
      </c>
      <c r="Z13" s="52" t="s">
        <v>9</v>
      </c>
      <c r="AB13" s="56" t="s">
        <v>1</v>
      </c>
      <c r="AC13" s="57">
        <v>643615</v>
      </c>
      <c r="AD13" s="57">
        <v>643368</v>
      </c>
      <c r="AE13" s="57">
        <v>641007</v>
      </c>
      <c r="AF13" s="57">
        <v>639630</v>
      </c>
      <c r="AG13" s="57">
        <v>641423</v>
      </c>
      <c r="AH13" s="57">
        <v>637971</v>
      </c>
      <c r="AI13" s="57">
        <v>632614</v>
      </c>
      <c r="AJ13" s="57">
        <v>621120</v>
      </c>
      <c r="AK13" s="57">
        <v>614618</v>
      </c>
    </row>
    <row r="14" spans="1:37" x14ac:dyDescent="0.35">
      <c r="A14" s="60" t="str">
        <f>VLOOKUP(B14,IKP!$Q$6:$R$124,2,FALSE)</f>
        <v>Latgales statistiskais reģions</v>
      </c>
      <c r="B14" s="59" t="s">
        <v>10</v>
      </c>
      <c r="C14" s="65"/>
      <c r="D14" s="65">
        <v>3800</v>
      </c>
      <c r="E14" s="65">
        <v>3731</v>
      </c>
      <c r="F14" s="65">
        <v>3669</v>
      </c>
      <c r="G14" s="65">
        <v>3567</v>
      </c>
      <c r="H14" s="65">
        <v>3436</v>
      </c>
      <c r="I14" s="65">
        <v>3309</v>
      </c>
      <c r="J14" s="65">
        <v>3191</v>
      </c>
      <c r="K14" s="65">
        <v>3133</v>
      </c>
      <c r="L14" s="65">
        <v>3042</v>
      </c>
      <c r="M14" s="67">
        <v>2391</v>
      </c>
      <c r="P14" s="65">
        <f t="shared" si="0"/>
        <v>3042</v>
      </c>
      <c r="Q14" s="65">
        <f t="shared" si="3"/>
        <v>2970</v>
      </c>
      <c r="R14" s="65">
        <f t="shared" si="4"/>
        <v>2897</v>
      </c>
      <c r="S14" s="65">
        <f t="shared" si="4"/>
        <v>2825</v>
      </c>
      <c r="T14" s="65">
        <f t="shared" si="4"/>
        <v>2753</v>
      </c>
      <c r="U14" s="65">
        <f t="shared" si="4"/>
        <v>2680</v>
      </c>
      <c r="V14" s="65">
        <f t="shared" si="4"/>
        <v>2608</v>
      </c>
      <c r="W14" s="65">
        <f t="shared" si="4"/>
        <v>2536</v>
      </c>
      <c r="X14" s="65">
        <f t="shared" si="4"/>
        <v>2463</v>
      </c>
      <c r="Y14" s="60">
        <f t="shared" si="2"/>
        <v>2391</v>
      </c>
      <c r="Z14" s="52" t="s">
        <v>296</v>
      </c>
      <c r="AB14" s="56" t="s">
        <v>8</v>
      </c>
      <c r="AC14" s="57">
        <v>24228</v>
      </c>
      <c r="AD14" s="57">
        <v>23657</v>
      </c>
      <c r="AE14" s="57">
        <v>23432</v>
      </c>
      <c r="AF14" s="57">
        <v>23248</v>
      </c>
      <c r="AG14" s="57">
        <v>22961</v>
      </c>
      <c r="AH14" s="57">
        <v>23063</v>
      </c>
      <c r="AI14" s="57">
        <v>23125</v>
      </c>
      <c r="AJ14" s="57">
        <v>23018</v>
      </c>
      <c r="AK14" s="57">
        <v>22971</v>
      </c>
    </row>
    <row r="15" spans="1:37" x14ac:dyDescent="0.35">
      <c r="A15" s="60" t="str">
        <f>VLOOKUP(B15,IKP!$Q$6:$R$124,2,FALSE)</f>
        <v>Zemgales statistiskais reģions</v>
      </c>
      <c r="B15" s="59" t="s">
        <v>11</v>
      </c>
      <c r="C15" s="65"/>
      <c r="D15" s="65">
        <v>8733</v>
      </c>
      <c r="E15" s="65">
        <v>8592</v>
      </c>
      <c r="F15" s="65">
        <v>8484</v>
      </c>
      <c r="G15" s="65">
        <v>8397</v>
      </c>
      <c r="H15" s="65">
        <v>8256</v>
      </c>
      <c r="I15" s="65">
        <v>8130</v>
      </c>
      <c r="J15" s="65">
        <v>8036</v>
      </c>
      <c r="K15" s="65">
        <v>8022</v>
      </c>
      <c r="L15" s="65">
        <v>8017</v>
      </c>
      <c r="M15" s="67">
        <v>6723</v>
      </c>
      <c r="P15" s="65">
        <f t="shared" si="0"/>
        <v>8017</v>
      </c>
      <c r="Q15" s="65">
        <f t="shared" si="3"/>
        <v>7873</v>
      </c>
      <c r="R15" s="65">
        <f t="shared" si="4"/>
        <v>7729</v>
      </c>
      <c r="S15" s="65">
        <f t="shared" si="4"/>
        <v>7586</v>
      </c>
      <c r="T15" s="65">
        <f t="shared" si="4"/>
        <v>7442</v>
      </c>
      <c r="U15" s="65">
        <f t="shared" si="4"/>
        <v>7298</v>
      </c>
      <c r="V15" s="65">
        <f t="shared" si="4"/>
        <v>7154</v>
      </c>
      <c r="W15" s="65">
        <f t="shared" si="4"/>
        <v>7011</v>
      </c>
      <c r="X15" s="65">
        <f t="shared" si="4"/>
        <v>6867</v>
      </c>
      <c r="Y15" s="60">
        <f t="shared" si="2"/>
        <v>6723</v>
      </c>
      <c r="Z15" s="52" t="s">
        <v>295</v>
      </c>
      <c r="AB15" s="56" t="s">
        <v>9</v>
      </c>
      <c r="AC15" s="57">
        <v>37336</v>
      </c>
      <c r="AD15" s="57">
        <v>36677</v>
      </c>
      <c r="AE15" s="57">
        <v>36274</v>
      </c>
      <c r="AF15" s="57">
        <v>35903</v>
      </c>
      <c r="AG15" s="57">
        <v>35362</v>
      </c>
      <c r="AH15" s="57">
        <v>34855</v>
      </c>
      <c r="AI15" s="57">
        <v>34377</v>
      </c>
      <c r="AJ15" s="57">
        <v>33799</v>
      </c>
      <c r="AK15" s="57">
        <v>33372</v>
      </c>
    </row>
    <row r="16" spans="1:37" x14ac:dyDescent="0.35">
      <c r="A16" s="60" t="str">
        <f>VLOOKUP(B16,IKP!$Q$6:$R$124,2,FALSE)</f>
        <v>Kurzemes statistiskais reģions</v>
      </c>
      <c r="B16" s="59" t="s">
        <v>12</v>
      </c>
      <c r="C16" s="65"/>
      <c r="D16" s="65">
        <v>9150</v>
      </c>
      <c r="E16" s="65">
        <v>9023</v>
      </c>
      <c r="F16" s="65">
        <v>8883</v>
      </c>
      <c r="G16" s="65">
        <v>8686</v>
      </c>
      <c r="H16" s="65">
        <v>8534</v>
      </c>
      <c r="I16" s="65">
        <v>8355</v>
      </c>
      <c r="J16" s="65">
        <v>8192</v>
      </c>
      <c r="K16" s="65">
        <v>8196</v>
      </c>
      <c r="L16" s="65">
        <v>8083</v>
      </c>
      <c r="M16" s="67">
        <v>6850</v>
      </c>
      <c r="P16" s="65">
        <f t="shared" si="0"/>
        <v>8083</v>
      </c>
      <c r="Q16" s="65">
        <f t="shared" si="3"/>
        <v>7946</v>
      </c>
      <c r="R16" s="65">
        <f t="shared" si="4"/>
        <v>7809</v>
      </c>
      <c r="S16" s="65">
        <f t="shared" si="4"/>
        <v>7672</v>
      </c>
      <c r="T16" s="65">
        <f t="shared" si="4"/>
        <v>7535</v>
      </c>
      <c r="U16" s="65">
        <f t="shared" si="4"/>
        <v>7398</v>
      </c>
      <c r="V16" s="65">
        <f t="shared" si="4"/>
        <v>7261</v>
      </c>
      <c r="W16" s="65">
        <f t="shared" si="4"/>
        <v>7124</v>
      </c>
      <c r="X16" s="65">
        <f t="shared" si="4"/>
        <v>6987</v>
      </c>
      <c r="Y16" s="60">
        <f t="shared" si="2"/>
        <v>6850</v>
      </c>
      <c r="Z16" s="52" t="s">
        <v>293</v>
      </c>
      <c r="AB16" s="56" t="s">
        <v>294</v>
      </c>
      <c r="AC16" s="57">
        <v>181721</v>
      </c>
      <c r="AD16" s="57">
        <v>178258</v>
      </c>
      <c r="AE16" s="57">
        <v>175595</v>
      </c>
      <c r="AF16" s="57">
        <v>172750</v>
      </c>
      <c r="AG16" s="57">
        <v>168833</v>
      </c>
      <c r="AH16" s="57">
        <v>165431</v>
      </c>
      <c r="AI16" s="57">
        <v>162970</v>
      </c>
      <c r="AJ16" s="57">
        <v>162495</v>
      </c>
      <c r="AK16" s="57">
        <v>160428</v>
      </c>
    </row>
    <row r="17" spans="1:37" x14ac:dyDescent="0.35">
      <c r="A17" s="60" t="str">
        <f>VLOOKUP(B17,IKP!$Q$6:$R$124,2,FALSE)</f>
        <v>Zemgales statistiskais reģions</v>
      </c>
      <c r="B17" s="59" t="s">
        <v>13</v>
      </c>
      <c r="C17" s="65"/>
      <c r="D17" s="65">
        <v>2897</v>
      </c>
      <c r="E17" s="65">
        <v>2878</v>
      </c>
      <c r="F17" s="65">
        <v>2836</v>
      </c>
      <c r="G17" s="65">
        <v>2776</v>
      </c>
      <c r="H17" s="65">
        <v>2791</v>
      </c>
      <c r="I17" s="65">
        <v>2557</v>
      </c>
      <c r="J17" s="65">
        <v>2492</v>
      </c>
      <c r="K17" s="65">
        <v>2576</v>
      </c>
      <c r="L17" s="65">
        <v>2546</v>
      </c>
      <c r="M17" s="67">
        <v>1934</v>
      </c>
      <c r="P17" s="65">
        <f t="shared" si="0"/>
        <v>2546</v>
      </c>
      <c r="Q17" s="65">
        <f t="shared" si="3"/>
        <v>2478</v>
      </c>
      <c r="R17" s="65">
        <f t="shared" si="4"/>
        <v>2410</v>
      </c>
      <c r="S17" s="65">
        <f t="shared" si="4"/>
        <v>2342</v>
      </c>
      <c r="T17" s="65">
        <f t="shared" si="4"/>
        <v>2274</v>
      </c>
      <c r="U17" s="65">
        <f t="shared" si="4"/>
        <v>2206</v>
      </c>
      <c r="V17" s="65">
        <f t="shared" si="4"/>
        <v>2138</v>
      </c>
      <c r="W17" s="65">
        <f t="shared" si="4"/>
        <v>2070</v>
      </c>
      <c r="X17" s="65">
        <f t="shared" si="4"/>
        <v>2002</v>
      </c>
      <c r="Y17" s="60">
        <f t="shared" si="2"/>
        <v>1934</v>
      </c>
      <c r="Z17" s="52" t="s">
        <v>295</v>
      </c>
      <c r="AB17" s="56" t="s">
        <v>295</v>
      </c>
      <c r="AC17" s="57">
        <v>167238</v>
      </c>
      <c r="AD17" s="57">
        <v>164274</v>
      </c>
      <c r="AE17" s="57">
        <v>161951</v>
      </c>
      <c r="AF17" s="57">
        <v>159553</v>
      </c>
      <c r="AG17" s="57">
        <v>156262</v>
      </c>
      <c r="AH17" s="57">
        <v>154188</v>
      </c>
      <c r="AI17" s="57">
        <v>152283</v>
      </c>
      <c r="AJ17" s="57">
        <v>152305</v>
      </c>
      <c r="AK17" s="57">
        <v>150555</v>
      </c>
    </row>
    <row r="18" spans="1:37" x14ac:dyDescent="0.35">
      <c r="A18" s="60" t="str">
        <f>VLOOKUP(B18,IKP!$Q$6:$R$124,2,FALSE)</f>
        <v>Pierīgas statistiskais reģions</v>
      </c>
      <c r="B18" s="59" t="s">
        <v>14</v>
      </c>
      <c r="C18" s="65"/>
      <c r="D18" s="65">
        <v>5197</v>
      </c>
      <c r="E18" s="65">
        <v>5088</v>
      </c>
      <c r="F18" s="65">
        <v>5000</v>
      </c>
      <c r="G18" s="65">
        <v>4889</v>
      </c>
      <c r="H18" s="65">
        <v>4785</v>
      </c>
      <c r="I18" s="65">
        <v>4680</v>
      </c>
      <c r="J18" s="65">
        <v>4630</v>
      </c>
      <c r="K18" s="65">
        <v>4627</v>
      </c>
      <c r="L18" s="65">
        <v>4520</v>
      </c>
      <c r="M18" s="67">
        <v>3731</v>
      </c>
      <c r="P18" s="65">
        <f t="shared" si="0"/>
        <v>4520</v>
      </c>
      <c r="Q18" s="65">
        <f t="shared" si="3"/>
        <v>4432</v>
      </c>
      <c r="R18" s="65">
        <f t="shared" si="4"/>
        <v>4345</v>
      </c>
      <c r="S18" s="65">
        <f t="shared" si="4"/>
        <v>4257</v>
      </c>
      <c r="T18" s="65">
        <f t="shared" si="4"/>
        <v>4169</v>
      </c>
      <c r="U18" s="65">
        <f t="shared" si="4"/>
        <v>4082</v>
      </c>
      <c r="V18" s="65">
        <f t="shared" si="4"/>
        <v>3994</v>
      </c>
      <c r="W18" s="65">
        <f t="shared" si="4"/>
        <v>3906</v>
      </c>
      <c r="X18" s="65">
        <f t="shared" si="4"/>
        <v>3819</v>
      </c>
      <c r="Y18" s="60">
        <f t="shared" si="2"/>
        <v>3731</v>
      </c>
      <c r="Z18" s="52" t="s">
        <v>292</v>
      </c>
      <c r="AB18" s="56" t="s">
        <v>317</v>
      </c>
      <c r="AC18" s="57">
        <v>2023825</v>
      </c>
      <c r="AD18" s="57">
        <v>2001468</v>
      </c>
      <c r="AE18" s="57">
        <v>1986096</v>
      </c>
      <c r="AF18" s="57">
        <v>1968957</v>
      </c>
      <c r="AG18" s="57">
        <v>1950116</v>
      </c>
      <c r="AH18" s="57">
        <v>1934379</v>
      </c>
      <c r="AI18" s="57">
        <v>1919968</v>
      </c>
      <c r="AJ18" s="57">
        <v>1907675</v>
      </c>
      <c r="AK18" s="57">
        <v>1893223</v>
      </c>
    </row>
    <row r="19" spans="1:37" x14ac:dyDescent="0.35">
      <c r="A19" s="60" t="str">
        <f>VLOOKUP(B19,IKP!$Q$6:$R$124,2,FALSE)</f>
        <v>Kurzemes statistiskais reģions</v>
      </c>
      <c r="B19" s="59" t="s">
        <v>15</v>
      </c>
      <c r="C19" s="65"/>
      <c r="D19" s="65">
        <v>1458</v>
      </c>
      <c r="E19" s="65">
        <v>1452</v>
      </c>
      <c r="F19" s="65">
        <v>1416</v>
      </c>
      <c r="G19" s="65">
        <v>1382</v>
      </c>
      <c r="H19" s="65">
        <v>1345</v>
      </c>
      <c r="I19" s="65">
        <v>1322</v>
      </c>
      <c r="J19" s="65">
        <v>1289</v>
      </c>
      <c r="K19" s="65">
        <v>1305</v>
      </c>
      <c r="L19" s="65">
        <v>1303</v>
      </c>
      <c r="M19" s="67">
        <v>1081</v>
      </c>
      <c r="P19" s="65">
        <f t="shared" si="0"/>
        <v>1303</v>
      </c>
      <c r="Q19" s="65">
        <f t="shared" si="3"/>
        <v>1278</v>
      </c>
      <c r="R19" s="65">
        <f t="shared" si="4"/>
        <v>1254</v>
      </c>
      <c r="S19" s="65">
        <f t="shared" si="4"/>
        <v>1229</v>
      </c>
      <c r="T19" s="65">
        <f t="shared" si="4"/>
        <v>1204</v>
      </c>
      <c r="U19" s="65">
        <f t="shared" si="4"/>
        <v>1180</v>
      </c>
      <c r="V19" s="65">
        <f t="shared" si="4"/>
        <v>1155</v>
      </c>
      <c r="W19" s="65">
        <f t="shared" si="4"/>
        <v>1130</v>
      </c>
      <c r="X19" s="65">
        <f t="shared" si="4"/>
        <v>1106</v>
      </c>
      <c r="Y19" s="60">
        <f t="shared" si="2"/>
        <v>1081</v>
      </c>
      <c r="Z19" s="52" t="s">
        <v>293</v>
      </c>
      <c r="AB19" s="4"/>
      <c r="AC19" s="4"/>
      <c r="AD19" s="4"/>
      <c r="AE19" s="4"/>
      <c r="AF19" s="4"/>
      <c r="AG19" s="4"/>
      <c r="AH19" s="4"/>
      <c r="AI19" s="4"/>
      <c r="AJ19" s="4"/>
      <c r="AK19" s="4"/>
    </row>
    <row r="20" spans="1:37" x14ac:dyDescent="0.35">
      <c r="A20" s="60" t="str">
        <f>VLOOKUP(B20,IKP!$Q$6:$R$124,2,FALSE)</f>
        <v>Vidzemes statistiskais reģions</v>
      </c>
      <c r="B20" s="59" t="s">
        <v>16</v>
      </c>
      <c r="C20" s="65"/>
      <c r="D20" s="65">
        <v>16418</v>
      </c>
      <c r="E20" s="65">
        <v>15972</v>
      </c>
      <c r="F20" s="65">
        <v>15648</v>
      </c>
      <c r="G20" s="65">
        <v>15381</v>
      </c>
      <c r="H20" s="65">
        <v>14896</v>
      </c>
      <c r="I20" s="65">
        <v>14472</v>
      </c>
      <c r="J20" s="65">
        <v>14153</v>
      </c>
      <c r="K20" s="65">
        <v>14050</v>
      </c>
      <c r="L20" s="65">
        <v>13861</v>
      </c>
      <c r="M20" s="67">
        <v>9979</v>
      </c>
      <c r="P20" s="65">
        <f t="shared" si="0"/>
        <v>13861</v>
      </c>
      <c r="Q20" s="65">
        <f t="shared" si="3"/>
        <v>13430</v>
      </c>
      <c r="R20" s="65">
        <f t="shared" si="3"/>
        <v>12998</v>
      </c>
      <c r="S20" s="65">
        <f t="shared" si="3"/>
        <v>12567</v>
      </c>
      <c r="T20" s="65">
        <f t="shared" si="3"/>
        <v>12136</v>
      </c>
      <c r="U20" s="65">
        <f t="shared" si="3"/>
        <v>11704</v>
      </c>
      <c r="V20" s="65">
        <f t="shared" si="3"/>
        <v>11273</v>
      </c>
      <c r="W20" s="65">
        <f t="shared" si="3"/>
        <v>10842</v>
      </c>
      <c r="X20" s="65">
        <f t="shared" si="3"/>
        <v>10410</v>
      </c>
      <c r="Y20" s="60">
        <f t="shared" si="2"/>
        <v>9979</v>
      </c>
      <c r="Z20" s="52" t="s">
        <v>294</v>
      </c>
      <c r="AB20" s="4"/>
      <c r="AC20" s="4"/>
      <c r="AD20" s="4"/>
    </row>
    <row r="21" spans="1:37" x14ac:dyDescent="0.35">
      <c r="A21" s="60" t="str">
        <f>VLOOKUP(B21,IKP!$Q$6:$R$124,2,FALSE)</f>
        <v>Vidzemes statistiskais reģions</v>
      </c>
      <c r="B21" s="59" t="s">
        <v>17</v>
      </c>
      <c r="C21" s="65"/>
      <c r="D21" s="65">
        <v>5589</v>
      </c>
      <c r="E21" s="65">
        <v>5462</v>
      </c>
      <c r="F21" s="65">
        <v>5388</v>
      </c>
      <c r="G21" s="65">
        <v>5337</v>
      </c>
      <c r="H21" s="65">
        <v>5163</v>
      </c>
      <c r="I21" s="65">
        <v>5003</v>
      </c>
      <c r="J21" s="65">
        <v>4983</v>
      </c>
      <c r="K21" s="65">
        <v>5048</v>
      </c>
      <c r="L21" s="65">
        <v>5042</v>
      </c>
      <c r="M21" s="67">
        <v>3764</v>
      </c>
      <c r="P21" s="65">
        <f t="shared" si="0"/>
        <v>5042</v>
      </c>
      <c r="Q21" s="65">
        <f t="shared" si="3"/>
        <v>4900</v>
      </c>
      <c r="R21" s="65">
        <f t="shared" si="3"/>
        <v>4758</v>
      </c>
      <c r="S21" s="65">
        <f t="shared" si="3"/>
        <v>4616</v>
      </c>
      <c r="T21" s="65">
        <f t="shared" si="3"/>
        <v>4474</v>
      </c>
      <c r="U21" s="65">
        <f t="shared" si="3"/>
        <v>4332</v>
      </c>
      <c r="V21" s="65">
        <f t="shared" si="3"/>
        <v>4190</v>
      </c>
      <c r="W21" s="65">
        <f t="shared" si="3"/>
        <v>4048</v>
      </c>
      <c r="X21" s="65">
        <f t="shared" si="3"/>
        <v>3906</v>
      </c>
      <c r="Y21" s="60">
        <f t="shared" si="2"/>
        <v>3764</v>
      </c>
      <c r="Z21" s="52" t="s">
        <v>294</v>
      </c>
    </row>
    <row r="22" spans="1:37" x14ac:dyDescent="0.35">
      <c r="A22" s="60" t="str">
        <f>VLOOKUP(B22,IKP!$Q$6:$R$124,2,FALSE)</f>
        <v>Vidzemes statistiskais reģions</v>
      </c>
      <c r="B22" s="59" t="s">
        <v>18</v>
      </c>
      <c r="C22" s="65"/>
      <c r="D22" s="65">
        <v>3718</v>
      </c>
      <c r="E22" s="65">
        <v>3643</v>
      </c>
      <c r="F22" s="65">
        <v>3579</v>
      </c>
      <c r="G22" s="65">
        <v>3528</v>
      </c>
      <c r="H22" s="65">
        <v>3415</v>
      </c>
      <c r="I22" s="65">
        <v>3345</v>
      </c>
      <c r="J22" s="65">
        <v>3295</v>
      </c>
      <c r="K22" s="65">
        <v>3260</v>
      </c>
      <c r="L22" s="65">
        <v>3205</v>
      </c>
      <c r="M22" s="67">
        <v>2476</v>
      </c>
      <c r="P22" s="65">
        <f t="shared" si="0"/>
        <v>3205</v>
      </c>
      <c r="Q22" s="65">
        <f t="shared" si="3"/>
        <v>3124</v>
      </c>
      <c r="R22" s="65">
        <f t="shared" si="3"/>
        <v>3043</v>
      </c>
      <c r="S22" s="65">
        <f t="shared" si="3"/>
        <v>2962</v>
      </c>
      <c r="T22" s="65">
        <f t="shared" si="3"/>
        <v>2881</v>
      </c>
      <c r="U22" s="65">
        <f t="shared" si="3"/>
        <v>2800</v>
      </c>
      <c r="V22" s="65">
        <f t="shared" si="3"/>
        <v>2719</v>
      </c>
      <c r="W22" s="65">
        <f t="shared" si="3"/>
        <v>2638</v>
      </c>
      <c r="X22" s="65">
        <f t="shared" si="3"/>
        <v>2557</v>
      </c>
      <c r="Y22" s="60">
        <f t="shared" si="2"/>
        <v>2476</v>
      </c>
      <c r="Z22" s="52" t="s">
        <v>294</v>
      </c>
      <c r="AB22" s="4" t="s">
        <v>316</v>
      </c>
      <c r="AC22" s="4" t="s">
        <v>326</v>
      </c>
      <c r="AD22" s="4" t="s">
        <v>328</v>
      </c>
      <c r="AE22" s="4" t="s">
        <v>329</v>
      </c>
      <c r="AF22" s="4" t="s">
        <v>483</v>
      </c>
    </row>
    <row r="23" spans="1:37" x14ac:dyDescent="0.35">
      <c r="A23" s="60" t="str">
        <f>VLOOKUP(B23,IKP!$Q$6:$R$124,2,FALSE)</f>
        <v>Zemgales statistiskais reģions</v>
      </c>
      <c r="B23" s="59" t="s">
        <v>19</v>
      </c>
      <c r="C23" s="65"/>
      <c r="D23" s="65">
        <v>7093</v>
      </c>
      <c r="E23" s="65">
        <v>6879</v>
      </c>
      <c r="F23" s="65">
        <v>6762</v>
      </c>
      <c r="G23" s="65">
        <v>6605</v>
      </c>
      <c r="H23" s="65">
        <v>6413</v>
      </c>
      <c r="I23" s="65">
        <v>6289</v>
      </c>
      <c r="J23" s="65">
        <v>6153</v>
      </c>
      <c r="K23" s="65">
        <v>6163</v>
      </c>
      <c r="L23" s="65">
        <v>6025</v>
      </c>
      <c r="M23" s="67">
        <v>4706</v>
      </c>
      <c r="P23" s="65">
        <f t="shared" si="0"/>
        <v>6025</v>
      </c>
      <c r="Q23" s="65">
        <f t="shared" si="3"/>
        <v>5878</v>
      </c>
      <c r="R23" s="65">
        <f t="shared" si="3"/>
        <v>5732</v>
      </c>
      <c r="S23" s="65">
        <f t="shared" si="3"/>
        <v>5585</v>
      </c>
      <c r="T23" s="65">
        <f t="shared" si="3"/>
        <v>5439</v>
      </c>
      <c r="U23" s="65">
        <f t="shared" si="3"/>
        <v>5292</v>
      </c>
      <c r="V23" s="65">
        <f t="shared" si="3"/>
        <v>5146</v>
      </c>
      <c r="W23" s="65">
        <f t="shared" si="3"/>
        <v>4999</v>
      </c>
      <c r="X23" s="65">
        <f t="shared" si="3"/>
        <v>4853</v>
      </c>
      <c r="Y23" s="60">
        <f t="shared" si="2"/>
        <v>4706</v>
      </c>
      <c r="Z23" s="52" t="s">
        <v>295</v>
      </c>
      <c r="AB23" s="56" t="s">
        <v>2</v>
      </c>
      <c r="AC23" s="57">
        <v>80627</v>
      </c>
      <c r="AD23" s="57">
        <v>79117</v>
      </c>
      <c r="AE23" s="57">
        <v>77607</v>
      </c>
      <c r="AF23" s="57">
        <v>67039</v>
      </c>
    </row>
    <row r="24" spans="1:37" x14ac:dyDescent="0.35">
      <c r="A24" s="60" t="str">
        <f>VLOOKUP(B24,IKP!$Q$6:$R$124,2,FALSE)</f>
        <v>Pierīgas statistiskais reģions</v>
      </c>
      <c r="B24" s="59" t="s">
        <v>20</v>
      </c>
      <c r="C24" s="65"/>
      <c r="D24" s="65">
        <v>10092</v>
      </c>
      <c r="E24" s="65">
        <v>10238</v>
      </c>
      <c r="F24" s="65">
        <v>10414</v>
      </c>
      <c r="G24" s="65">
        <v>10524</v>
      </c>
      <c r="H24" s="65">
        <v>10735</v>
      </c>
      <c r="I24" s="65">
        <v>11184</v>
      </c>
      <c r="J24" s="65">
        <v>11391</v>
      </c>
      <c r="K24" s="65">
        <v>11558</v>
      </c>
      <c r="L24" s="65">
        <v>11824</v>
      </c>
      <c r="M24" s="67">
        <v>13864</v>
      </c>
      <c r="P24" s="65">
        <f t="shared" si="0"/>
        <v>11824</v>
      </c>
      <c r="Q24" s="65">
        <f t="shared" si="3"/>
        <v>12051</v>
      </c>
      <c r="R24" s="65">
        <f t="shared" si="3"/>
        <v>12277</v>
      </c>
      <c r="S24" s="65">
        <f t="shared" si="3"/>
        <v>12504</v>
      </c>
      <c r="T24" s="65">
        <f t="shared" si="3"/>
        <v>12731</v>
      </c>
      <c r="U24" s="65">
        <f t="shared" si="3"/>
        <v>12957</v>
      </c>
      <c r="V24" s="65">
        <f t="shared" si="3"/>
        <v>13184</v>
      </c>
      <c r="W24" s="65">
        <f t="shared" si="3"/>
        <v>13411</v>
      </c>
      <c r="X24" s="65">
        <f t="shared" si="3"/>
        <v>13637</v>
      </c>
      <c r="Y24" s="60">
        <f t="shared" si="2"/>
        <v>13864</v>
      </c>
      <c r="Z24" s="52" t="s">
        <v>292</v>
      </c>
      <c r="AB24" s="56" t="s">
        <v>5</v>
      </c>
      <c r="AC24" s="57">
        <v>55336</v>
      </c>
      <c r="AD24" s="57">
        <v>54885</v>
      </c>
      <c r="AE24" s="57">
        <v>54435</v>
      </c>
      <c r="AF24" s="57">
        <v>51280</v>
      </c>
    </row>
    <row r="25" spans="1:37" x14ac:dyDescent="0.35">
      <c r="A25" s="60" t="str">
        <f>VLOOKUP(B25,IKP!$Q$6:$R$124,2,FALSE)</f>
        <v>Pierīgas statistiskais reģions</v>
      </c>
      <c r="B25" s="59" t="s">
        <v>21</v>
      </c>
      <c r="C25" s="65"/>
      <c r="D25" s="65">
        <v>9515</v>
      </c>
      <c r="E25" s="65">
        <v>9630</v>
      </c>
      <c r="F25" s="65">
        <v>9800</v>
      </c>
      <c r="G25" s="65">
        <v>9825</v>
      </c>
      <c r="H25" s="65">
        <v>10119</v>
      </c>
      <c r="I25" s="65">
        <v>10350</v>
      </c>
      <c r="J25" s="65">
        <v>10704</v>
      </c>
      <c r="K25" s="65">
        <v>10980</v>
      </c>
      <c r="L25" s="65">
        <v>11247</v>
      </c>
      <c r="M25" s="67">
        <v>12192</v>
      </c>
      <c r="P25" s="65">
        <f t="shared" si="0"/>
        <v>11247</v>
      </c>
      <c r="Q25" s="65">
        <f t="shared" si="3"/>
        <v>11352</v>
      </c>
      <c r="R25" s="65">
        <f t="shared" si="3"/>
        <v>11457</v>
      </c>
      <c r="S25" s="65">
        <f t="shared" si="3"/>
        <v>11562</v>
      </c>
      <c r="T25" s="65">
        <f t="shared" si="3"/>
        <v>11667</v>
      </c>
      <c r="U25" s="65">
        <f t="shared" si="3"/>
        <v>11772</v>
      </c>
      <c r="V25" s="65">
        <f t="shared" si="3"/>
        <v>11877</v>
      </c>
      <c r="W25" s="65">
        <f t="shared" si="3"/>
        <v>11982</v>
      </c>
      <c r="X25" s="65">
        <f t="shared" si="3"/>
        <v>12087</v>
      </c>
      <c r="Y25" s="60">
        <f t="shared" si="2"/>
        <v>12192</v>
      </c>
      <c r="Z25" s="52" t="s">
        <v>292</v>
      </c>
      <c r="AB25" s="56" t="s">
        <v>3</v>
      </c>
      <c r="AC25" s="57">
        <v>21629</v>
      </c>
      <c r="AD25" s="57">
        <v>21261</v>
      </c>
      <c r="AE25" s="57">
        <v>20893</v>
      </c>
      <c r="AF25" s="57">
        <v>18315</v>
      </c>
    </row>
    <row r="26" spans="1:37" x14ac:dyDescent="0.35">
      <c r="A26" s="60" t="str">
        <f>VLOOKUP(B26,IKP!$Q$6:$R$124,2,FALSE)</f>
        <v>Pierīgas statistiskais reģions</v>
      </c>
      <c r="B26" s="59" t="s">
        <v>22</v>
      </c>
      <c r="C26" s="65"/>
      <c r="D26" s="65">
        <v>5473</v>
      </c>
      <c r="E26" s="65">
        <v>5400</v>
      </c>
      <c r="F26" s="65">
        <v>5435</v>
      </c>
      <c r="G26" s="65">
        <v>5416</v>
      </c>
      <c r="H26" s="65">
        <v>5373</v>
      </c>
      <c r="I26" s="65">
        <v>5485</v>
      </c>
      <c r="J26" s="65">
        <v>5468</v>
      </c>
      <c r="K26" s="65">
        <v>5370</v>
      </c>
      <c r="L26" s="65">
        <v>5446</v>
      </c>
      <c r="M26" s="67">
        <v>5673</v>
      </c>
      <c r="P26" s="65">
        <f t="shared" si="0"/>
        <v>5446</v>
      </c>
      <c r="Q26" s="65">
        <f t="shared" si="3"/>
        <v>5471</v>
      </c>
      <c r="R26" s="65">
        <f t="shared" si="3"/>
        <v>5496</v>
      </c>
      <c r="S26" s="65">
        <f t="shared" si="3"/>
        <v>5522</v>
      </c>
      <c r="T26" s="65">
        <f t="shared" si="3"/>
        <v>5547</v>
      </c>
      <c r="U26" s="65">
        <f t="shared" si="3"/>
        <v>5572</v>
      </c>
      <c r="V26" s="65">
        <f t="shared" si="3"/>
        <v>5597</v>
      </c>
      <c r="W26" s="65">
        <f t="shared" si="3"/>
        <v>5623</v>
      </c>
      <c r="X26" s="65">
        <f t="shared" si="3"/>
        <v>5648</v>
      </c>
      <c r="Y26" s="60">
        <f t="shared" si="2"/>
        <v>5673</v>
      </c>
      <c r="Z26" s="52" t="s">
        <v>292</v>
      </c>
      <c r="AB26" s="56" t="s">
        <v>4</v>
      </c>
      <c r="AC26" s="57">
        <v>50248</v>
      </c>
      <c r="AD26" s="57">
        <v>49821</v>
      </c>
      <c r="AE26" s="57">
        <v>49394</v>
      </c>
      <c r="AF26" s="57">
        <v>46404</v>
      </c>
    </row>
    <row r="27" spans="1:37" x14ac:dyDescent="0.35">
      <c r="A27" s="60" t="str">
        <f>VLOOKUP(B27,IKP!$Q$6:$R$124,2,FALSE)</f>
        <v>Latgales statistiskais reģions</v>
      </c>
      <c r="B27" s="59" t="s">
        <v>23</v>
      </c>
      <c r="C27" s="65"/>
      <c r="D27" s="65">
        <v>1137</v>
      </c>
      <c r="E27" s="65">
        <v>1112</v>
      </c>
      <c r="F27" s="65">
        <v>1085</v>
      </c>
      <c r="G27" s="65">
        <v>1054</v>
      </c>
      <c r="H27" s="65">
        <v>1036</v>
      </c>
      <c r="I27" s="65">
        <v>1000</v>
      </c>
      <c r="J27" s="65">
        <v>963</v>
      </c>
      <c r="K27" s="65">
        <v>984</v>
      </c>
      <c r="L27" s="65">
        <v>937</v>
      </c>
      <c r="M27" s="67">
        <v>738</v>
      </c>
      <c r="P27" s="65">
        <f t="shared" si="0"/>
        <v>937</v>
      </c>
      <c r="Q27" s="65">
        <f t="shared" si="3"/>
        <v>915</v>
      </c>
      <c r="R27" s="65">
        <f t="shared" si="3"/>
        <v>893</v>
      </c>
      <c r="S27" s="65">
        <f t="shared" si="3"/>
        <v>871</v>
      </c>
      <c r="T27" s="65">
        <f t="shared" si="3"/>
        <v>849</v>
      </c>
      <c r="U27" s="65">
        <f t="shared" si="3"/>
        <v>826</v>
      </c>
      <c r="V27" s="65">
        <f t="shared" si="3"/>
        <v>804</v>
      </c>
      <c r="W27" s="65">
        <f t="shared" si="3"/>
        <v>782</v>
      </c>
      <c r="X27" s="65">
        <f t="shared" si="3"/>
        <v>760</v>
      </c>
      <c r="Y27" s="60">
        <f t="shared" si="2"/>
        <v>738</v>
      </c>
      <c r="Z27" s="52" t="s">
        <v>296</v>
      </c>
      <c r="AB27" s="56" t="s">
        <v>293</v>
      </c>
      <c r="AC27" s="57">
        <v>134686</v>
      </c>
      <c r="AD27" s="57">
        <v>132284</v>
      </c>
      <c r="AE27" s="57">
        <v>129883</v>
      </c>
      <c r="AF27" s="57">
        <v>113059</v>
      </c>
    </row>
    <row r="28" spans="1:37" x14ac:dyDescent="0.35">
      <c r="A28" s="60" t="str">
        <f>VLOOKUP(B28,IKP!$Q$6:$R$124,2,FALSE)</f>
        <v>Latgales statistiskais reģions</v>
      </c>
      <c r="B28" s="59" t="s">
        <v>24</v>
      </c>
      <c r="C28" s="65"/>
      <c r="D28" s="65">
        <v>13609</v>
      </c>
      <c r="E28" s="65">
        <v>13301</v>
      </c>
      <c r="F28" s="65">
        <v>13031</v>
      </c>
      <c r="G28" s="65">
        <v>12688</v>
      </c>
      <c r="H28" s="65">
        <v>12342</v>
      </c>
      <c r="I28" s="65">
        <v>12129</v>
      </c>
      <c r="J28" s="65">
        <v>11977</v>
      </c>
      <c r="K28" s="65">
        <v>11809</v>
      </c>
      <c r="L28" s="65">
        <v>11576</v>
      </c>
      <c r="M28" s="67">
        <v>9018</v>
      </c>
      <c r="P28" s="65">
        <f t="shared" si="0"/>
        <v>11576</v>
      </c>
      <c r="Q28" s="65">
        <f t="shared" si="3"/>
        <v>11292</v>
      </c>
      <c r="R28" s="65">
        <f t="shared" si="3"/>
        <v>11008</v>
      </c>
      <c r="S28" s="65">
        <f t="shared" si="3"/>
        <v>10723</v>
      </c>
      <c r="T28" s="65">
        <f t="shared" si="3"/>
        <v>10439</v>
      </c>
      <c r="U28" s="65">
        <f t="shared" si="3"/>
        <v>10155</v>
      </c>
      <c r="V28" s="65">
        <f t="shared" si="3"/>
        <v>9871</v>
      </c>
      <c r="W28" s="65">
        <f t="shared" si="3"/>
        <v>9586</v>
      </c>
      <c r="X28" s="65">
        <f t="shared" si="3"/>
        <v>9302</v>
      </c>
      <c r="Y28" s="60">
        <f t="shared" si="2"/>
        <v>9018</v>
      </c>
      <c r="Z28" s="52" t="s">
        <v>296</v>
      </c>
      <c r="AB28" s="56" t="s">
        <v>296</v>
      </c>
      <c r="AC28" s="57">
        <v>145216</v>
      </c>
      <c r="AD28" s="57">
        <v>141884</v>
      </c>
      <c r="AE28" s="57">
        <v>138552</v>
      </c>
      <c r="AF28" s="57">
        <v>115225</v>
      </c>
    </row>
    <row r="29" spans="1:37" x14ac:dyDescent="0.35">
      <c r="A29" s="60" t="str">
        <f>VLOOKUP(B29,IKP!$Q$6:$R$124,2,FALSE)</f>
        <v>Zemgales statistiskais reģions</v>
      </c>
      <c r="B29" s="59" t="s">
        <v>25</v>
      </c>
      <c r="C29" s="65"/>
      <c r="D29" s="65">
        <v>24946</v>
      </c>
      <c r="E29" s="65">
        <v>24615</v>
      </c>
      <c r="F29" s="65">
        <v>24308</v>
      </c>
      <c r="G29" s="65">
        <v>23930</v>
      </c>
      <c r="H29" s="65">
        <v>23387</v>
      </c>
      <c r="I29" s="65">
        <v>23061</v>
      </c>
      <c r="J29" s="65">
        <v>22784</v>
      </c>
      <c r="K29" s="65">
        <v>22546</v>
      </c>
      <c r="L29" s="65">
        <v>22259</v>
      </c>
      <c r="M29" s="67">
        <v>19017</v>
      </c>
      <c r="P29" s="65">
        <f t="shared" si="0"/>
        <v>22259</v>
      </c>
      <c r="Q29" s="65">
        <f t="shared" si="3"/>
        <v>21899</v>
      </c>
      <c r="R29" s="65">
        <f t="shared" si="3"/>
        <v>21539</v>
      </c>
      <c r="S29" s="65">
        <f t="shared" si="3"/>
        <v>21178</v>
      </c>
      <c r="T29" s="65">
        <f t="shared" si="3"/>
        <v>20818</v>
      </c>
      <c r="U29" s="65">
        <f t="shared" si="3"/>
        <v>20458</v>
      </c>
      <c r="V29" s="65">
        <f t="shared" si="3"/>
        <v>20098</v>
      </c>
      <c r="W29" s="65">
        <f t="shared" si="3"/>
        <v>19737</v>
      </c>
      <c r="X29" s="65">
        <f t="shared" si="3"/>
        <v>19377</v>
      </c>
      <c r="Y29" s="60">
        <f t="shared" si="2"/>
        <v>19017</v>
      </c>
      <c r="Z29" s="52" t="s">
        <v>295</v>
      </c>
      <c r="AB29" s="56" t="s">
        <v>6</v>
      </c>
      <c r="AC29" s="57">
        <v>67964</v>
      </c>
      <c r="AD29" s="57">
        <v>66775</v>
      </c>
      <c r="AE29" s="57">
        <v>65587</v>
      </c>
      <c r="AF29" s="57">
        <v>57267</v>
      </c>
    </row>
    <row r="30" spans="1:37" x14ac:dyDescent="0.35">
      <c r="A30" s="60" t="str">
        <f>VLOOKUP(B30,IKP!$Q$6:$R$124,2,FALSE)</f>
        <v>Vidzemes statistiskais reģions</v>
      </c>
      <c r="B30" s="59" t="s">
        <v>26</v>
      </c>
      <c r="C30" s="65"/>
      <c r="D30" s="65">
        <v>3299</v>
      </c>
      <c r="E30" s="65">
        <v>3231</v>
      </c>
      <c r="F30" s="65">
        <v>3186</v>
      </c>
      <c r="G30" s="65">
        <v>3140</v>
      </c>
      <c r="H30" s="65">
        <v>3051</v>
      </c>
      <c r="I30" s="65">
        <v>3006</v>
      </c>
      <c r="J30" s="65">
        <v>2949</v>
      </c>
      <c r="K30" s="65">
        <v>2990</v>
      </c>
      <c r="L30" s="65">
        <v>2948</v>
      </c>
      <c r="M30" s="67">
        <v>2469</v>
      </c>
      <c r="P30" s="65">
        <f t="shared" si="0"/>
        <v>2948</v>
      </c>
      <c r="Q30" s="65">
        <f t="shared" si="3"/>
        <v>2895</v>
      </c>
      <c r="R30" s="65">
        <f t="shared" si="3"/>
        <v>2842</v>
      </c>
      <c r="S30" s="65">
        <f t="shared" si="3"/>
        <v>2788</v>
      </c>
      <c r="T30" s="65">
        <f t="shared" si="3"/>
        <v>2735</v>
      </c>
      <c r="U30" s="65">
        <f t="shared" si="3"/>
        <v>2682</v>
      </c>
      <c r="V30" s="65">
        <f t="shared" si="3"/>
        <v>2629</v>
      </c>
      <c r="W30" s="65">
        <f t="shared" si="3"/>
        <v>2575</v>
      </c>
      <c r="X30" s="65">
        <f t="shared" si="3"/>
        <v>2522</v>
      </c>
      <c r="Y30" s="60">
        <f t="shared" si="2"/>
        <v>2469</v>
      </c>
      <c r="Z30" s="52" t="s">
        <v>294</v>
      </c>
      <c r="AB30" s="56" t="s">
        <v>292</v>
      </c>
      <c r="AC30" s="57">
        <v>328734</v>
      </c>
      <c r="AD30" s="57">
        <v>327720</v>
      </c>
      <c r="AE30" s="57">
        <v>326706</v>
      </c>
      <c r="AF30" s="57">
        <v>319596</v>
      </c>
    </row>
    <row r="31" spans="1:37" x14ac:dyDescent="0.35">
      <c r="A31" s="60" t="str">
        <f>VLOOKUP(B31,IKP!$Q$6:$R$124,2,FALSE)</f>
        <v>Kurzemes statistiskais reģions</v>
      </c>
      <c r="B31" s="59" t="s">
        <v>27</v>
      </c>
      <c r="C31" s="65"/>
      <c r="D31" s="65">
        <v>5981</v>
      </c>
      <c r="E31" s="65">
        <v>5828</v>
      </c>
      <c r="F31" s="65">
        <v>5785</v>
      </c>
      <c r="G31" s="65">
        <v>5674</v>
      </c>
      <c r="H31" s="65">
        <v>5558</v>
      </c>
      <c r="I31" s="65">
        <v>5622</v>
      </c>
      <c r="J31" s="65">
        <v>5634</v>
      </c>
      <c r="K31" s="65">
        <v>5685</v>
      </c>
      <c r="L31" s="65">
        <v>5672</v>
      </c>
      <c r="M31" s="67">
        <v>4630</v>
      </c>
      <c r="P31" s="65">
        <f t="shared" si="0"/>
        <v>5672</v>
      </c>
      <c r="Q31" s="65">
        <f t="shared" si="3"/>
        <v>5556</v>
      </c>
      <c r="R31" s="65">
        <f t="shared" si="3"/>
        <v>5440</v>
      </c>
      <c r="S31" s="65">
        <f t="shared" si="3"/>
        <v>5325</v>
      </c>
      <c r="T31" s="65">
        <f t="shared" si="3"/>
        <v>5209</v>
      </c>
      <c r="U31" s="65">
        <f t="shared" si="3"/>
        <v>5093</v>
      </c>
      <c r="V31" s="65">
        <f t="shared" si="3"/>
        <v>4977</v>
      </c>
      <c r="W31" s="65">
        <f t="shared" si="3"/>
        <v>4862</v>
      </c>
      <c r="X31" s="65">
        <f t="shared" si="3"/>
        <v>4746</v>
      </c>
      <c r="Y31" s="60">
        <f t="shared" si="2"/>
        <v>4630</v>
      </c>
      <c r="Z31" s="52" t="s">
        <v>293</v>
      </c>
      <c r="AB31" s="56" t="s">
        <v>7</v>
      </c>
      <c r="AC31" s="57">
        <v>26839</v>
      </c>
      <c r="AD31" s="57">
        <v>26264</v>
      </c>
      <c r="AE31" s="57">
        <v>25689</v>
      </c>
      <c r="AF31" s="57">
        <v>21662</v>
      </c>
    </row>
    <row r="32" spans="1:37" x14ac:dyDescent="0.35">
      <c r="A32" s="60" t="str">
        <f>VLOOKUP(B32,IKP!$Q$6:$R$124,2,FALSE)</f>
        <v>Vidzemes statistiskais reģions</v>
      </c>
      <c r="B32" s="59" t="s">
        <v>28</v>
      </c>
      <c r="C32" s="65"/>
      <c r="D32" s="65">
        <v>8162</v>
      </c>
      <c r="E32" s="65">
        <v>8128</v>
      </c>
      <c r="F32" s="65">
        <v>8112</v>
      </c>
      <c r="G32" s="65">
        <v>8150</v>
      </c>
      <c r="H32" s="65">
        <v>7977</v>
      </c>
      <c r="I32" s="65">
        <v>7584</v>
      </c>
      <c r="J32" s="65">
        <v>7485</v>
      </c>
      <c r="K32" s="65">
        <v>7430</v>
      </c>
      <c r="L32" s="65">
        <v>7410</v>
      </c>
      <c r="M32" s="67">
        <v>6545</v>
      </c>
      <c r="P32" s="65">
        <f t="shared" si="0"/>
        <v>7410</v>
      </c>
      <c r="Q32" s="65">
        <f t="shared" si="3"/>
        <v>7314</v>
      </c>
      <c r="R32" s="65">
        <f t="shared" si="3"/>
        <v>7218</v>
      </c>
      <c r="S32" s="65">
        <f t="shared" si="3"/>
        <v>7122</v>
      </c>
      <c r="T32" s="65">
        <f t="shared" si="3"/>
        <v>7026</v>
      </c>
      <c r="U32" s="65">
        <f t="shared" si="3"/>
        <v>6929</v>
      </c>
      <c r="V32" s="65">
        <f t="shared" si="3"/>
        <v>6833</v>
      </c>
      <c r="W32" s="65">
        <f t="shared" si="3"/>
        <v>6737</v>
      </c>
      <c r="X32" s="65">
        <f t="shared" si="3"/>
        <v>6641</v>
      </c>
      <c r="Y32" s="60">
        <f t="shared" si="2"/>
        <v>6545</v>
      </c>
      <c r="Z32" s="52" t="s">
        <v>294</v>
      </c>
      <c r="AB32" s="56" t="s">
        <v>1</v>
      </c>
      <c r="AC32" s="57">
        <v>614618</v>
      </c>
      <c r="AD32" s="57">
        <v>615772</v>
      </c>
      <c r="AE32" s="57">
        <v>616925</v>
      </c>
      <c r="AF32" s="57">
        <v>625000</v>
      </c>
    </row>
    <row r="33" spans="1:32" x14ac:dyDescent="0.35">
      <c r="A33" s="60" t="str">
        <f>VLOOKUP(B33,IKP!$Q$6:$R$124,2,FALSE)</f>
        <v>Pierīgas statistiskais reģions</v>
      </c>
      <c r="B33" s="59" t="s">
        <v>29</v>
      </c>
      <c r="C33" s="65"/>
      <c r="D33" s="65">
        <v>6780</v>
      </c>
      <c r="E33" s="65">
        <v>6788</v>
      </c>
      <c r="F33" s="65">
        <v>6805</v>
      </c>
      <c r="G33" s="65">
        <v>6858</v>
      </c>
      <c r="H33" s="65">
        <v>8334</v>
      </c>
      <c r="I33" s="65">
        <v>8626</v>
      </c>
      <c r="J33" s="65">
        <v>8738</v>
      </c>
      <c r="K33" s="65">
        <v>9110</v>
      </c>
      <c r="L33" s="65">
        <v>9310</v>
      </c>
      <c r="M33" s="67">
        <v>9126</v>
      </c>
      <c r="P33" s="65">
        <f t="shared" si="0"/>
        <v>9310</v>
      </c>
      <c r="Q33" s="65">
        <f t="shared" si="3"/>
        <v>9290</v>
      </c>
      <c r="R33" s="65">
        <f t="shared" si="3"/>
        <v>9269</v>
      </c>
      <c r="S33" s="65">
        <f t="shared" si="3"/>
        <v>9249</v>
      </c>
      <c r="T33" s="65">
        <f t="shared" si="3"/>
        <v>9228</v>
      </c>
      <c r="U33" s="65">
        <f t="shared" si="3"/>
        <v>9208</v>
      </c>
      <c r="V33" s="65">
        <f t="shared" si="3"/>
        <v>9187</v>
      </c>
      <c r="W33" s="65">
        <f t="shared" si="3"/>
        <v>9167</v>
      </c>
      <c r="X33" s="65">
        <f t="shared" si="3"/>
        <v>9146</v>
      </c>
      <c r="Y33" s="60">
        <f t="shared" si="2"/>
        <v>9126</v>
      </c>
      <c r="Z33" s="52" t="s">
        <v>292</v>
      </c>
      <c r="AB33" s="56" t="s">
        <v>8</v>
      </c>
      <c r="AC33" s="57">
        <v>22971</v>
      </c>
      <c r="AD33" s="57">
        <v>22974</v>
      </c>
      <c r="AE33" s="57">
        <v>22977</v>
      </c>
      <c r="AF33" s="57">
        <v>23000</v>
      </c>
    </row>
    <row r="34" spans="1:32" x14ac:dyDescent="0.35">
      <c r="A34" s="60" t="str">
        <f>VLOOKUP(B34,IKP!$Q$6:$R$124,2,FALSE)</f>
        <v>Vidzemes statistiskais reģions</v>
      </c>
      <c r="B34" s="59" t="s">
        <v>30</v>
      </c>
      <c r="C34" s="65"/>
      <c r="D34" s="65">
        <v>2774</v>
      </c>
      <c r="E34" s="65">
        <v>2697</v>
      </c>
      <c r="F34" s="65">
        <v>2617</v>
      </c>
      <c r="G34" s="65">
        <v>2560</v>
      </c>
      <c r="H34" s="65">
        <v>2497</v>
      </c>
      <c r="I34" s="65">
        <v>2422</v>
      </c>
      <c r="J34" s="65">
        <v>2339</v>
      </c>
      <c r="K34" s="65">
        <v>2309</v>
      </c>
      <c r="L34" s="65">
        <v>2253</v>
      </c>
      <c r="M34" s="67">
        <v>1762</v>
      </c>
      <c r="P34" s="65">
        <f t="shared" si="0"/>
        <v>2253</v>
      </c>
      <c r="Q34" s="65">
        <f t="shared" si="3"/>
        <v>2198</v>
      </c>
      <c r="R34" s="65">
        <f t="shared" si="3"/>
        <v>2144</v>
      </c>
      <c r="S34" s="65">
        <f t="shared" si="3"/>
        <v>2089</v>
      </c>
      <c r="T34" s="65">
        <f t="shared" si="3"/>
        <v>2035</v>
      </c>
      <c r="U34" s="65">
        <f t="shared" si="3"/>
        <v>1980</v>
      </c>
      <c r="V34" s="65">
        <f t="shared" si="3"/>
        <v>1926</v>
      </c>
      <c r="W34" s="65">
        <f t="shared" si="3"/>
        <v>1871</v>
      </c>
      <c r="X34" s="65">
        <f t="shared" si="3"/>
        <v>1817</v>
      </c>
      <c r="Y34" s="60">
        <f t="shared" si="2"/>
        <v>1762</v>
      </c>
      <c r="Z34" s="52" t="s">
        <v>294</v>
      </c>
      <c r="AB34" s="56" t="s">
        <v>9</v>
      </c>
      <c r="AC34" s="57">
        <v>33372</v>
      </c>
      <c r="AD34" s="57">
        <v>32851</v>
      </c>
      <c r="AE34" s="57">
        <v>32329</v>
      </c>
      <c r="AF34" s="57">
        <v>28680</v>
      </c>
    </row>
    <row r="35" spans="1:32" x14ac:dyDescent="0.35">
      <c r="A35" s="60" t="str">
        <f>VLOOKUP(B35,IKP!$Q$6:$R$124,2,FALSE)</f>
        <v>Vidzemes statistiskais reģions</v>
      </c>
      <c r="B35" s="59" t="s">
        <v>31</v>
      </c>
      <c r="C35" s="65"/>
      <c r="D35" s="65">
        <v>17539</v>
      </c>
      <c r="E35" s="65">
        <v>17241</v>
      </c>
      <c r="F35" s="65">
        <v>17039</v>
      </c>
      <c r="G35" s="65">
        <v>16830</v>
      </c>
      <c r="H35" s="65">
        <v>16628</v>
      </c>
      <c r="I35" s="65">
        <v>16489</v>
      </c>
      <c r="J35" s="65">
        <v>16372</v>
      </c>
      <c r="K35" s="65">
        <v>16226</v>
      </c>
      <c r="L35" s="65">
        <v>16143</v>
      </c>
      <c r="M35" s="67">
        <v>12918</v>
      </c>
      <c r="P35" s="65">
        <f t="shared" si="0"/>
        <v>16143</v>
      </c>
      <c r="Q35" s="65">
        <f t="shared" si="3"/>
        <v>15785</v>
      </c>
      <c r="R35" s="65">
        <f t="shared" si="3"/>
        <v>15426</v>
      </c>
      <c r="S35" s="65">
        <f t="shared" si="3"/>
        <v>15068</v>
      </c>
      <c r="T35" s="65">
        <f t="shared" si="3"/>
        <v>14710</v>
      </c>
      <c r="U35" s="65">
        <f t="shared" si="3"/>
        <v>14351</v>
      </c>
      <c r="V35" s="65">
        <f t="shared" si="3"/>
        <v>13993</v>
      </c>
      <c r="W35" s="65">
        <f t="shared" si="3"/>
        <v>13635</v>
      </c>
      <c r="X35" s="65">
        <f t="shared" si="3"/>
        <v>13276</v>
      </c>
      <c r="Y35" s="60">
        <f t="shared" si="2"/>
        <v>12918</v>
      </c>
      <c r="Z35" s="52" t="s">
        <v>294</v>
      </c>
      <c r="AB35" s="56" t="s">
        <v>294</v>
      </c>
      <c r="AC35" s="57">
        <v>160428</v>
      </c>
      <c r="AD35" s="57">
        <v>156712</v>
      </c>
      <c r="AE35" s="57">
        <v>152998</v>
      </c>
      <c r="AF35" s="57">
        <v>126999</v>
      </c>
    </row>
    <row r="36" spans="1:32" x14ac:dyDescent="0.35">
      <c r="A36" s="60" t="str">
        <f>VLOOKUP(B36,IKP!$Q$6:$R$124,2,FALSE)</f>
        <v>Latgales statistiskais reģions</v>
      </c>
      <c r="B36" s="59" t="s">
        <v>32</v>
      </c>
      <c r="C36" s="65"/>
      <c r="D36" s="65">
        <v>2818</v>
      </c>
      <c r="E36" s="65">
        <v>2755</v>
      </c>
      <c r="F36" s="65">
        <v>2707</v>
      </c>
      <c r="G36" s="65">
        <v>2659</v>
      </c>
      <c r="H36" s="65">
        <v>2568</v>
      </c>
      <c r="I36" s="65">
        <v>2515</v>
      </c>
      <c r="J36" s="65">
        <v>2429</v>
      </c>
      <c r="K36" s="65">
        <v>2451</v>
      </c>
      <c r="L36" s="65">
        <v>2362</v>
      </c>
      <c r="M36" s="67">
        <v>1950</v>
      </c>
      <c r="P36" s="65">
        <f t="shared" ref="P36:P68" si="5">L36</f>
        <v>2362</v>
      </c>
      <c r="Q36" s="65">
        <f t="shared" si="3"/>
        <v>2316</v>
      </c>
      <c r="R36" s="65">
        <f t="shared" si="3"/>
        <v>2270</v>
      </c>
      <c r="S36" s="65">
        <f t="shared" si="3"/>
        <v>2225</v>
      </c>
      <c r="T36" s="65">
        <f t="shared" si="3"/>
        <v>2179</v>
      </c>
      <c r="U36" s="65">
        <f t="shared" si="3"/>
        <v>2133</v>
      </c>
      <c r="V36" s="65">
        <f t="shared" si="3"/>
        <v>2087</v>
      </c>
      <c r="W36" s="65">
        <f t="shared" si="3"/>
        <v>2042</v>
      </c>
      <c r="X36" s="65">
        <f t="shared" si="3"/>
        <v>1996</v>
      </c>
      <c r="Y36" s="60">
        <f t="shared" si="2"/>
        <v>1950</v>
      </c>
      <c r="Z36" s="52" t="s">
        <v>296</v>
      </c>
      <c r="AB36" s="56" t="s">
        <v>295</v>
      </c>
      <c r="AC36" s="57">
        <v>150555</v>
      </c>
      <c r="AD36" s="57">
        <v>148106</v>
      </c>
      <c r="AE36" s="57">
        <v>145656</v>
      </c>
      <c r="AF36" s="57">
        <v>128502</v>
      </c>
    </row>
    <row r="37" spans="1:32" x14ac:dyDescent="0.35">
      <c r="A37" s="60" t="str">
        <f>VLOOKUP(B37,IKP!$Q$6:$R$124,2,FALSE)</f>
        <v>Latgales statistiskais reģions</v>
      </c>
      <c r="B37" s="59" t="s">
        <v>33</v>
      </c>
      <c r="C37" s="65"/>
      <c r="D37" s="65">
        <v>8014</v>
      </c>
      <c r="E37" s="65">
        <v>7819</v>
      </c>
      <c r="F37" s="65">
        <v>7647</v>
      </c>
      <c r="G37" s="65">
        <v>7460</v>
      </c>
      <c r="H37" s="65">
        <v>7253</v>
      </c>
      <c r="I37" s="65">
        <v>6992</v>
      </c>
      <c r="J37" s="65">
        <v>6777</v>
      </c>
      <c r="K37" s="65">
        <v>6685</v>
      </c>
      <c r="L37" s="65">
        <v>6475</v>
      </c>
      <c r="M37" s="67">
        <v>5041</v>
      </c>
      <c r="P37" s="65">
        <f t="shared" si="5"/>
        <v>6475</v>
      </c>
      <c r="Q37" s="65">
        <f t="shared" si="3"/>
        <v>6316</v>
      </c>
      <c r="R37" s="65">
        <f t="shared" si="3"/>
        <v>6156</v>
      </c>
      <c r="S37" s="65">
        <f t="shared" si="3"/>
        <v>5997</v>
      </c>
      <c r="T37" s="65">
        <f t="shared" si="3"/>
        <v>5838</v>
      </c>
      <c r="U37" s="65">
        <f t="shared" si="3"/>
        <v>5678</v>
      </c>
      <c r="V37" s="65">
        <f t="shared" si="3"/>
        <v>5519</v>
      </c>
      <c r="W37" s="65">
        <f t="shared" si="3"/>
        <v>5360</v>
      </c>
      <c r="X37" s="65">
        <f t="shared" si="3"/>
        <v>5200</v>
      </c>
      <c r="Y37" s="60">
        <f t="shared" si="2"/>
        <v>5041</v>
      </c>
      <c r="Z37" s="52" t="s">
        <v>296</v>
      </c>
      <c r="AB37" s="56" t="s">
        <v>317</v>
      </c>
      <c r="AC37" s="57">
        <v>1893223</v>
      </c>
      <c r="AD37" s="57">
        <v>1876426</v>
      </c>
      <c r="AE37" s="57">
        <v>1859631</v>
      </c>
      <c r="AF37" s="57">
        <v>1742028</v>
      </c>
    </row>
    <row r="38" spans="1:32" x14ac:dyDescent="0.35">
      <c r="A38" s="60" t="str">
        <f>VLOOKUP(B38,IKP!$Q$6:$R$124,2,FALSE)</f>
        <v>Latgales statistiskais reģions</v>
      </c>
      <c r="B38" s="59" t="s">
        <v>34</v>
      </c>
      <c r="C38" s="65"/>
      <c r="D38" s="65">
        <v>24000</v>
      </c>
      <c r="E38" s="65">
        <v>23503</v>
      </c>
      <c r="F38" s="65">
        <v>22848</v>
      </c>
      <c r="G38" s="65">
        <v>22096</v>
      </c>
      <c r="H38" s="65">
        <v>21301</v>
      </c>
      <c r="I38" s="65">
        <v>20684</v>
      </c>
      <c r="J38" s="65">
        <v>20149</v>
      </c>
      <c r="K38" s="65">
        <v>20075</v>
      </c>
      <c r="L38" s="65">
        <v>19553</v>
      </c>
      <c r="M38" s="67">
        <v>14277</v>
      </c>
      <c r="P38" s="65">
        <f t="shared" si="5"/>
        <v>19553</v>
      </c>
      <c r="Q38" s="65">
        <f t="shared" ref="Q38:X69" si="6">ROUND((_xlfn.FORECAST.LINEAR(Q$3,$L38:$M38,$L$3:$M$3)),0)</f>
        <v>18967</v>
      </c>
      <c r="R38" s="65">
        <f t="shared" si="6"/>
        <v>18381</v>
      </c>
      <c r="S38" s="65">
        <f t="shared" si="6"/>
        <v>17794</v>
      </c>
      <c r="T38" s="65">
        <f t="shared" si="6"/>
        <v>17208</v>
      </c>
      <c r="U38" s="65">
        <f t="shared" si="6"/>
        <v>16622</v>
      </c>
      <c r="V38" s="65">
        <f t="shared" si="6"/>
        <v>16036</v>
      </c>
      <c r="W38" s="65">
        <f t="shared" si="6"/>
        <v>15449</v>
      </c>
      <c r="X38" s="65">
        <f t="shared" si="6"/>
        <v>14863</v>
      </c>
      <c r="Y38" s="60">
        <f t="shared" si="2"/>
        <v>14277</v>
      </c>
      <c r="Z38" s="52" t="s">
        <v>296</v>
      </c>
      <c r="AB38" s="4"/>
    </row>
    <row r="39" spans="1:32" x14ac:dyDescent="0.35">
      <c r="A39" s="60" t="str">
        <f>VLOOKUP(B39,IKP!$Q$6:$R$124,2,FALSE)</f>
        <v>Zemgales statistiskais reģions</v>
      </c>
      <c r="B39" s="59" t="s">
        <v>35</v>
      </c>
      <c r="C39" s="65"/>
      <c r="D39" s="65">
        <v>21693</v>
      </c>
      <c r="E39" s="65">
        <v>21218</v>
      </c>
      <c r="F39" s="65">
        <v>20878</v>
      </c>
      <c r="G39" s="65">
        <v>20473</v>
      </c>
      <c r="H39" s="65">
        <v>20080</v>
      </c>
      <c r="I39" s="65">
        <v>19768</v>
      </c>
      <c r="J39" s="65">
        <v>19517</v>
      </c>
      <c r="K39" s="65">
        <v>19438</v>
      </c>
      <c r="L39" s="65">
        <v>19219</v>
      </c>
      <c r="M39" s="67">
        <v>15822</v>
      </c>
      <c r="P39" s="65">
        <f t="shared" si="5"/>
        <v>19219</v>
      </c>
      <c r="Q39" s="65">
        <f t="shared" si="6"/>
        <v>18842</v>
      </c>
      <c r="R39" s="65">
        <f t="shared" si="6"/>
        <v>18464</v>
      </c>
      <c r="S39" s="65">
        <f t="shared" si="6"/>
        <v>18087</v>
      </c>
      <c r="T39" s="65">
        <f t="shared" si="6"/>
        <v>17709</v>
      </c>
      <c r="U39" s="65">
        <f t="shared" si="6"/>
        <v>17332</v>
      </c>
      <c r="V39" s="65">
        <f t="shared" si="6"/>
        <v>16954</v>
      </c>
      <c r="W39" s="65">
        <f t="shared" si="6"/>
        <v>16577</v>
      </c>
      <c r="X39" s="65">
        <f t="shared" si="6"/>
        <v>16199</v>
      </c>
      <c r="Y39" s="60">
        <f t="shared" si="2"/>
        <v>15822</v>
      </c>
      <c r="Z39" s="52" t="s">
        <v>295</v>
      </c>
    </row>
    <row r="40" spans="1:32" x14ac:dyDescent="0.35">
      <c r="A40" s="60" t="str">
        <f>VLOOKUP(B40,IKP!$Q$6:$R$124,2,FALSE)</f>
        <v>Kurzemes statistiskais reģions</v>
      </c>
      <c r="B40" s="59" t="s">
        <v>36</v>
      </c>
      <c r="C40" s="65"/>
      <c r="D40" s="65">
        <v>4193</v>
      </c>
      <c r="E40" s="65">
        <v>4140</v>
      </c>
      <c r="F40" s="65">
        <v>4039</v>
      </c>
      <c r="G40" s="65">
        <v>3963</v>
      </c>
      <c r="H40" s="65">
        <v>3846</v>
      </c>
      <c r="I40" s="65">
        <v>3740</v>
      </c>
      <c r="J40" s="65">
        <v>3641</v>
      </c>
      <c r="K40" s="65">
        <v>3568</v>
      </c>
      <c r="L40" s="65">
        <v>3487</v>
      </c>
      <c r="M40" s="67">
        <v>2979</v>
      </c>
      <c r="P40" s="65">
        <f t="shared" si="5"/>
        <v>3487</v>
      </c>
      <c r="Q40" s="65">
        <f t="shared" si="6"/>
        <v>3431</v>
      </c>
      <c r="R40" s="65">
        <f t="shared" si="6"/>
        <v>3374</v>
      </c>
      <c r="S40" s="65">
        <f t="shared" si="6"/>
        <v>3318</v>
      </c>
      <c r="T40" s="65">
        <f t="shared" si="6"/>
        <v>3261</v>
      </c>
      <c r="U40" s="65">
        <f t="shared" si="6"/>
        <v>3205</v>
      </c>
      <c r="V40" s="65">
        <f t="shared" si="6"/>
        <v>3148</v>
      </c>
      <c r="W40" s="65">
        <f t="shared" si="6"/>
        <v>3092</v>
      </c>
      <c r="X40" s="65">
        <f t="shared" si="6"/>
        <v>3035</v>
      </c>
      <c r="Y40" s="60">
        <f t="shared" si="2"/>
        <v>2979</v>
      </c>
      <c r="Z40" s="52" t="s">
        <v>293</v>
      </c>
    </row>
    <row r="41" spans="1:32" x14ac:dyDescent="0.35">
      <c r="A41" s="60" t="str">
        <f>VLOOKUP(B41,IKP!$Q$6:$R$124,2,FALSE)</f>
        <v>Kurzemes statistiskais reģions</v>
      </c>
      <c r="B41" s="59" t="s">
        <v>37</v>
      </c>
      <c r="C41" s="65"/>
      <c r="D41" s="65">
        <v>2969</v>
      </c>
      <c r="E41" s="65">
        <v>2921</v>
      </c>
      <c r="F41" s="65">
        <v>2854</v>
      </c>
      <c r="G41" s="65">
        <v>2777</v>
      </c>
      <c r="H41" s="65">
        <v>2729</v>
      </c>
      <c r="I41" s="65">
        <v>2681</v>
      </c>
      <c r="J41" s="65">
        <v>2626</v>
      </c>
      <c r="K41" s="65">
        <v>2667</v>
      </c>
      <c r="L41" s="65">
        <v>2620</v>
      </c>
      <c r="M41" s="67">
        <v>2107</v>
      </c>
      <c r="P41" s="65">
        <f t="shared" si="5"/>
        <v>2620</v>
      </c>
      <c r="Q41" s="65">
        <f t="shared" si="6"/>
        <v>2563</v>
      </c>
      <c r="R41" s="65">
        <f t="shared" si="6"/>
        <v>2506</v>
      </c>
      <c r="S41" s="65">
        <f t="shared" si="6"/>
        <v>2449</v>
      </c>
      <c r="T41" s="65">
        <f t="shared" si="6"/>
        <v>2392</v>
      </c>
      <c r="U41" s="65">
        <f t="shared" si="6"/>
        <v>2335</v>
      </c>
      <c r="V41" s="65">
        <f t="shared" si="6"/>
        <v>2278</v>
      </c>
      <c r="W41" s="65">
        <f t="shared" si="6"/>
        <v>2221</v>
      </c>
      <c r="X41" s="65">
        <f t="shared" si="6"/>
        <v>2164</v>
      </c>
      <c r="Y41" s="60">
        <f t="shared" si="2"/>
        <v>2107</v>
      </c>
      <c r="Z41" s="52" t="s">
        <v>293</v>
      </c>
    </row>
    <row r="42" spans="1:32" x14ac:dyDescent="0.35">
      <c r="A42" s="60" t="str">
        <f>VLOOKUP(B42,IKP!$Q$6:$R$124,2,FALSE)</f>
        <v>Pierīgas statistiskais reģions</v>
      </c>
      <c r="B42" s="59" t="s">
        <v>38</v>
      </c>
      <c r="C42" s="65"/>
      <c r="D42" s="65">
        <v>7430</v>
      </c>
      <c r="E42" s="65">
        <v>7321</v>
      </c>
      <c r="F42" s="65">
        <v>7204</v>
      </c>
      <c r="G42" s="65">
        <v>7289</v>
      </c>
      <c r="H42" s="65">
        <v>7225</v>
      </c>
      <c r="I42" s="65">
        <v>7080</v>
      </c>
      <c r="J42" s="65">
        <v>7054</v>
      </c>
      <c r="K42" s="65">
        <v>7219</v>
      </c>
      <c r="L42" s="65">
        <v>7147</v>
      </c>
      <c r="M42" s="67">
        <v>6288</v>
      </c>
      <c r="P42" s="65">
        <f t="shared" si="5"/>
        <v>7147</v>
      </c>
      <c r="Q42" s="65">
        <f t="shared" si="6"/>
        <v>7052</v>
      </c>
      <c r="R42" s="65">
        <f t="shared" si="6"/>
        <v>6956</v>
      </c>
      <c r="S42" s="65">
        <f t="shared" si="6"/>
        <v>6861</v>
      </c>
      <c r="T42" s="65">
        <f t="shared" si="6"/>
        <v>6765</v>
      </c>
      <c r="U42" s="65">
        <f t="shared" si="6"/>
        <v>6670</v>
      </c>
      <c r="V42" s="65">
        <f t="shared" si="6"/>
        <v>6574</v>
      </c>
      <c r="W42" s="65">
        <f t="shared" si="6"/>
        <v>6479</v>
      </c>
      <c r="X42" s="65">
        <f t="shared" si="6"/>
        <v>6383</v>
      </c>
      <c r="Y42" s="60">
        <f t="shared" si="2"/>
        <v>6288</v>
      </c>
      <c r="Z42" s="52" t="s">
        <v>292</v>
      </c>
    </row>
    <row r="43" spans="1:32" x14ac:dyDescent="0.35">
      <c r="A43" s="60" t="str">
        <f>VLOOKUP(B43,IKP!$Q$6:$R$124,2,FALSE)</f>
        <v>Vidzemes statistiskais reģions</v>
      </c>
      <c r="B43" s="59" t="s">
        <v>39</v>
      </c>
      <c r="C43" s="65"/>
      <c r="D43" s="65">
        <v>3059</v>
      </c>
      <c r="E43" s="65">
        <v>2988</v>
      </c>
      <c r="F43" s="65">
        <v>2943</v>
      </c>
      <c r="G43" s="65">
        <v>2929</v>
      </c>
      <c r="H43" s="65">
        <v>2804</v>
      </c>
      <c r="I43" s="65">
        <v>2747</v>
      </c>
      <c r="J43" s="65">
        <v>2689</v>
      </c>
      <c r="K43" s="65">
        <v>2680</v>
      </c>
      <c r="L43" s="65">
        <v>2600</v>
      </c>
      <c r="M43" s="67">
        <v>1998</v>
      </c>
      <c r="P43" s="65">
        <f t="shared" si="5"/>
        <v>2600</v>
      </c>
      <c r="Q43" s="65">
        <f t="shared" si="6"/>
        <v>2533</v>
      </c>
      <c r="R43" s="65">
        <f t="shared" si="6"/>
        <v>2466</v>
      </c>
      <c r="S43" s="65">
        <f t="shared" si="6"/>
        <v>2399</v>
      </c>
      <c r="T43" s="65">
        <f t="shared" si="6"/>
        <v>2332</v>
      </c>
      <c r="U43" s="65">
        <f t="shared" si="6"/>
        <v>2266</v>
      </c>
      <c r="V43" s="65">
        <f t="shared" si="6"/>
        <v>2199</v>
      </c>
      <c r="W43" s="65">
        <f t="shared" si="6"/>
        <v>2132</v>
      </c>
      <c r="X43" s="65">
        <f t="shared" si="6"/>
        <v>2065</v>
      </c>
      <c r="Y43" s="60">
        <f t="shared" si="2"/>
        <v>1998</v>
      </c>
      <c r="Z43" s="52" t="s">
        <v>294</v>
      </c>
    </row>
    <row r="44" spans="1:32" x14ac:dyDescent="0.35">
      <c r="A44" s="60" t="str">
        <f>VLOOKUP(B44,IKP!$Q$6:$R$124,2,FALSE)</f>
        <v>Pierīgas statistiskais reģions</v>
      </c>
      <c r="B44" s="59" t="s">
        <v>40</v>
      </c>
      <c r="C44" s="65"/>
      <c r="D44" s="65">
        <v>7868</v>
      </c>
      <c r="E44" s="65">
        <v>7817</v>
      </c>
      <c r="F44" s="65">
        <v>7858</v>
      </c>
      <c r="G44" s="65">
        <v>7944</v>
      </c>
      <c r="H44" s="65">
        <v>8121</v>
      </c>
      <c r="I44" s="65">
        <v>8344</v>
      </c>
      <c r="J44" s="65">
        <v>8557</v>
      </c>
      <c r="K44" s="65">
        <v>9011</v>
      </c>
      <c r="L44" s="65">
        <v>9425</v>
      </c>
      <c r="M44" s="67">
        <v>9817</v>
      </c>
      <c r="P44" s="65">
        <f t="shared" si="5"/>
        <v>9425</v>
      </c>
      <c r="Q44" s="65">
        <f t="shared" si="6"/>
        <v>9469</v>
      </c>
      <c r="R44" s="65">
        <f t="shared" si="6"/>
        <v>9512</v>
      </c>
      <c r="S44" s="65">
        <f t="shared" si="6"/>
        <v>9556</v>
      </c>
      <c r="T44" s="65">
        <f t="shared" si="6"/>
        <v>9599</v>
      </c>
      <c r="U44" s="65">
        <f t="shared" si="6"/>
        <v>9643</v>
      </c>
      <c r="V44" s="65">
        <f t="shared" si="6"/>
        <v>9686</v>
      </c>
      <c r="W44" s="65">
        <f t="shared" si="6"/>
        <v>9730</v>
      </c>
      <c r="X44" s="65">
        <f t="shared" si="6"/>
        <v>9773</v>
      </c>
      <c r="Y44" s="60">
        <f t="shared" si="2"/>
        <v>9817</v>
      </c>
      <c r="Z44" s="52" t="s">
        <v>292</v>
      </c>
    </row>
    <row r="45" spans="1:32" x14ac:dyDescent="0.35">
      <c r="A45" s="60" t="str">
        <f>VLOOKUP(B45,IKP!$Q$6:$R$124,2,FALSE)</f>
        <v>Kurzemes statistiskais reģions</v>
      </c>
      <c r="B45" s="59" t="s">
        <v>41</v>
      </c>
      <c r="C45" s="65"/>
      <c r="D45" s="65">
        <v>9144</v>
      </c>
      <c r="E45" s="65">
        <v>9051</v>
      </c>
      <c r="F45" s="65">
        <v>8929</v>
      </c>
      <c r="G45" s="65">
        <v>8765</v>
      </c>
      <c r="H45" s="65">
        <v>8615</v>
      </c>
      <c r="I45" s="65">
        <v>8479</v>
      </c>
      <c r="J45" s="65">
        <v>8394</v>
      </c>
      <c r="K45" s="65">
        <v>8398</v>
      </c>
      <c r="L45" s="65">
        <v>8329</v>
      </c>
      <c r="M45" s="67">
        <v>7041</v>
      </c>
      <c r="P45" s="65">
        <f t="shared" si="5"/>
        <v>8329</v>
      </c>
      <c r="Q45" s="65">
        <f t="shared" si="6"/>
        <v>8186</v>
      </c>
      <c r="R45" s="65">
        <f t="shared" si="6"/>
        <v>8043</v>
      </c>
      <c r="S45" s="65">
        <f t="shared" si="6"/>
        <v>7900</v>
      </c>
      <c r="T45" s="65">
        <f t="shared" si="6"/>
        <v>7757</v>
      </c>
      <c r="U45" s="65">
        <f t="shared" si="6"/>
        <v>7613</v>
      </c>
      <c r="V45" s="65">
        <f t="shared" si="6"/>
        <v>7470</v>
      </c>
      <c r="W45" s="65">
        <f t="shared" si="6"/>
        <v>7327</v>
      </c>
      <c r="X45" s="65">
        <f t="shared" si="6"/>
        <v>7184</v>
      </c>
      <c r="Y45" s="60">
        <f t="shared" si="2"/>
        <v>7041</v>
      </c>
      <c r="Z45" s="52" t="s">
        <v>293</v>
      </c>
    </row>
    <row r="46" spans="1:32" x14ac:dyDescent="0.35">
      <c r="A46" s="60" t="str">
        <f>VLOOKUP(B46,IKP!$Q$6:$R$124,2,FALSE)</f>
        <v>Vidzemes statistiskais reģions</v>
      </c>
      <c r="B46" s="59" t="s">
        <v>42</v>
      </c>
      <c r="C46" s="65"/>
      <c r="D46" s="65">
        <v>22375</v>
      </c>
      <c r="E46" s="65">
        <v>21935</v>
      </c>
      <c r="F46" s="65">
        <v>21640</v>
      </c>
      <c r="G46" s="65">
        <v>21244</v>
      </c>
      <c r="H46" s="65">
        <v>20805</v>
      </c>
      <c r="I46" s="65">
        <v>20431</v>
      </c>
      <c r="J46" s="65">
        <v>20079</v>
      </c>
      <c r="K46" s="65">
        <v>20001</v>
      </c>
      <c r="L46" s="65">
        <v>19619</v>
      </c>
      <c r="M46" s="67">
        <v>15759</v>
      </c>
      <c r="P46" s="65">
        <f t="shared" si="5"/>
        <v>19619</v>
      </c>
      <c r="Q46" s="65">
        <f t="shared" si="6"/>
        <v>19190</v>
      </c>
      <c r="R46" s="65">
        <f t="shared" si="6"/>
        <v>18761</v>
      </c>
      <c r="S46" s="65">
        <f t="shared" si="6"/>
        <v>18332</v>
      </c>
      <c r="T46" s="65">
        <f t="shared" si="6"/>
        <v>17903</v>
      </c>
      <c r="U46" s="65">
        <f t="shared" si="6"/>
        <v>17475</v>
      </c>
      <c r="V46" s="65">
        <f t="shared" si="6"/>
        <v>17046</v>
      </c>
      <c r="W46" s="65">
        <f t="shared" si="6"/>
        <v>16617</v>
      </c>
      <c r="X46" s="65">
        <f t="shared" si="6"/>
        <v>16188</v>
      </c>
      <c r="Y46" s="60">
        <f t="shared" si="2"/>
        <v>15759</v>
      </c>
      <c r="Z46" s="52" t="s">
        <v>294</v>
      </c>
    </row>
    <row r="47" spans="1:32" x14ac:dyDescent="0.35">
      <c r="A47" s="60" t="str">
        <f>VLOOKUP(B47,IKP!$Q$6:$R$124,2,FALSE)</f>
        <v>Zemgales statistiskais reģions</v>
      </c>
      <c r="B47" s="59" t="s">
        <v>43</v>
      </c>
      <c r="C47" s="65"/>
      <c r="D47" s="65">
        <v>8894</v>
      </c>
      <c r="E47" s="65">
        <v>8756</v>
      </c>
      <c r="F47" s="65">
        <v>8703</v>
      </c>
      <c r="G47" s="65">
        <v>8572</v>
      </c>
      <c r="H47" s="65">
        <v>8455</v>
      </c>
      <c r="I47" s="65">
        <v>8424</v>
      </c>
      <c r="J47" s="65">
        <v>8359</v>
      </c>
      <c r="K47" s="65">
        <v>8435</v>
      </c>
      <c r="L47" s="65">
        <v>8411</v>
      </c>
      <c r="M47" s="67">
        <v>7365</v>
      </c>
      <c r="P47" s="65">
        <f t="shared" si="5"/>
        <v>8411</v>
      </c>
      <c r="Q47" s="65">
        <f t="shared" si="6"/>
        <v>8295</v>
      </c>
      <c r="R47" s="65">
        <f t="shared" si="6"/>
        <v>8179</v>
      </c>
      <c r="S47" s="65">
        <f t="shared" si="6"/>
        <v>8062</v>
      </c>
      <c r="T47" s="65">
        <f t="shared" si="6"/>
        <v>7946</v>
      </c>
      <c r="U47" s="65">
        <f t="shared" si="6"/>
        <v>7830</v>
      </c>
      <c r="V47" s="65">
        <f t="shared" si="6"/>
        <v>7714</v>
      </c>
      <c r="W47" s="65">
        <f t="shared" si="6"/>
        <v>7597</v>
      </c>
      <c r="X47" s="65">
        <f t="shared" si="6"/>
        <v>7481</v>
      </c>
      <c r="Y47" s="60">
        <f t="shared" si="2"/>
        <v>7365</v>
      </c>
      <c r="Z47" s="52" t="s">
        <v>295</v>
      </c>
    </row>
    <row r="48" spans="1:32" x14ac:dyDescent="0.35">
      <c r="A48" s="60" t="str">
        <f>VLOOKUP(B48,IKP!$Q$6:$R$124,2,FALSE)</f>
        <v>Pierīgas statistiskais reģions</v>
      </c>
      <c r="B48" s="59" t="s">
        <v>44</v>
      </c>
      <c r="C48" s="65"/>
      <c r="D48" s="65">
        <v>8974</v>
      </c>
      <c r="E48" s="65">
        <v>9174</v>
      </c>
      <c r="F48" s="65">
        <v>9314</v>
      </c>
      <c r="G48" s="65">
        <v>9369</v>
      </c>
      <c r="H48" s="65">
        <v>9405</v>
      </c>
      <c r="I48" s="65">
        <v>9643</v>
      </c>
      <c r="J48" s="65">
        <v>9708</v>
      </c>
      <c r="K48" s="65">
        <v>9770</v>
      </c>
      <c r="L48" s="65">
        <v>9967</v>
      </c>
      <c r="M48" s="67">
        <v>10930</v>
      </c>
      <c r="P48" s="65">
        <f t="shared" si="5"/>
        <v>9967</v>
      </c>
      <c r="Q48" s="65">
        <f t="shared" si="6"/>
        <v>10074</v>
      </c>
      <c r="R48" s="65">
        <f t="shared" si="6"/>
        <v>10181</v>
      </c>
      <c r="S48" s="65">
        <f t="shared" si="6"/>
        <v>10288</v>
      </c>
      <c r="T48" s="65">
        <f t="shared" si="6"/>
        <v>10395</v>
      </c>
      <c r="U48" s="65">
        <f t="shared" si="6"/>
        <v>10502</v>
      </c>
      <c r="V48" s="65">
        <f t="shared" si="6"/>
        <v>10609</v>
      </c>
      <c r="W48" s="65">
        <f t="shared" si="6"/>
        <v>10716</v>
      </c>
      <c r="X48" s="65">
        <f t="shared" si="6"/>
        <v>10823</v>
      </c>
      <c r="Y48" s="60">
        <f t="shared" si="2"/>
        <v>10930</v>
      </c>
      <c r="Z48" s="52" t="s">
        <v>292</v>
      </c>
    </row>
    <row r="49" spans="1:26" x14ac:dyDescent="0.35">
      <c r="A49" s="60" t="str">
        <f>VLOOKUP(B49,IKP!$Q$6:$R$124,2,FALSE)</f>
        <v>Latgales statistiskais reģions</v>
      </c>
      <c r="B49" s="59" t="s">
        <v>45</v>
      </c>
      <c r="C49" s="65"/>
      <c r="D49" s="65">
        <v>7786</v>
      </c>
      <c r="E49" s="65">
        <v>7537</v>
      </c>
      <c r="F49" s="65">
        <v>7450</v>
      </c>
      <c r="G49" s="65">
        <v>7210</v>
      </c>
      <c r="H49" s="65">
        <v>7022</v>
      </c>
      <c r="I49" s="65">
        <v>6820</v>
      </c>
      <c r="J49" s="65">
        <v>6615</v>
      </c>
      <c r="K49" s="65">
        <v>6523</v>
      </c>
      <c r="L49" s="65">
        <v>6374</v>
      </c>
      <c r="M49" s="67">
        <v>5054</v>
      </c>
      <c r="P49" s="65">
        <f t="shared" si="5"/>
        <v>6374</v>
      </c>
      <c r="Q49" s="65">
        <f t="shared" si="6"/>
        <v>6227</v>
      </c>
      <c r="R49" s="65">
        <f t="shared" si="6"/>
        <v>6081</v>
      </c>
      <c r="S49" s="65">
        <f t="shared" si="6"/>
        <v>5934</v>
      </c>
      <c r="T49" s="65">
        <f t="shared" si="6"/>
        <v>5787</v>
      </c>
      <c r="U49" s="65">
        <f t="shared" si="6"/>
        <v>5641</v>
      </c>
      <c r="V49" s="65">
        <f t="shared" si="6"/>
        <v>5494</v>
      </c>
      <c r="W49" s="65">
        <f t="shared" si="6"/>
        <v>5347</v>
      </c>
      <c r="X49" s="65">
        <f t="shared" si="6"/>
        <v>5201</v>
      </c>
      <c r="Y49" s="60">
        <f t="shared" si="2"/>
        <v>5054</v>
      </c>
      <c r="Z49" s="52" t="s">
        <v>296</v>
      </c>
    </row>
    <row r="50" spans="1:26" x14ac:dyDescent="0.35">
      <c r="A50" s="60" t="str">
        <f>VLOOKUP(B50,IKP!$Q$6:$R$124,2,FALSE)</f>
        <v>Pierīgas statistiskais reģions</v>
      </c>
      <c r="B50" s="59" t="s">
        <v>46</v>
      </c>
      <c r="C50" s="65"/>
      <c r="D50" s="65">
        <v>7856</v>
      </c>
      <c r="E50" s="65">
        <v>7748</v>
      </c>
      <c r="F50" s="65">
        <v>7719</v>
      </c>
      <c r="G50" s="65">
        <v>7679</v>
      </c>
      <c r="H50" s="65">
        <v>7598</v>
      </c>
      <c r="I50" s="65">
        <v>7558</v>
      </c>
      <c r="J50" s="65">
        <v>7640</v>
      </c>
      <c r="K50" s="65">
        <v>7579</v>
      </c>
      <c r="L50" s="65">
        <v>7622</v>
      </c>
      <c r="M50" s="67">
        <v>6957</v>
      </c>
      <c r="P50" s="65">
        <f t="shared" si="5"/>
        <v>7622</v>
      </c>
      <c r="Q50" s="65">
        <f t="shared" si="6"/>
        <v>7548</v>
      </c>
      <c r="R50" s="65">
        <f t="shared" si="6"/>
        <v>7474</v>
      </c>
      <c r="S50" s="65">
        <f t="shared" si="6"/>
        <v>7400</v>
      </c>
      <c r="T50" s="65">
        <f t="shared" si="6"/>
        <v>7326</v>
      </c>
      <c r="U50" s="65">
        <f t="shared" si="6"/>
        <v>7253</v>
      </c>
      <c r="V50" s="65">
        <f t="shared" si="6"/>
        <v>7179</v>
      </c>
      <c r="W50" s="65">
        <f t="shared" si="6"/>
        <v>7105</v>
      </c>
      <c r="X50" s="65">
        <f t="shared" si="6"/>
        <v>7031</v>
      </c>
      <c r="Y50" s="60">
        <f t="shared" si="2"/>
        <v>6957</v>
      </c>
      <c r="Z50" s="52" t="s">
        <v>292</v>
      </c>
    </row>
    <row r="51" spans="1:26" x14ac:dyDescent="0.35">
      <c r="A51" s="60" t="str">
        <f>VLOOKUP(B51,IKP!$Q$6:$R$124,2,FALSE)</f>
        <v>Zemgales statistiskais reģions</v>
      </c>
      <c r="B51" s="59" t="s">
        <v>47</v>
      </c>
      <c r="C51" s="65"/>
      <c r="D51" s="65">
        <v>5731</v>
      </c>
      <c r="E51" s="65">
        <v>5656</v>
      </c>
      <c r="F51" s="65">
        <v>5578</v>
      </c>
      <c r="G51" s="65">
        <v>5496</v>
      </c>
      <c r="H51" s="65">
        <v>5334</v>
      </c>
      <c r="I51" s="65">
        <v>5252</v>
      </c>
      <c r="J51" s="65">
        <v>5140</v>
      </c>
      <c r="K51" s="65">
        <v>5176</v>
      </c>
      <c r="L51" s="65">
        <v>5039</v>
      </c>
      <c r="M51" s="67">
        <v>4382</v>
      </c>
      <c r="P51" s="65">
        <f t="shared" si="5"/>
        <v>5039</v>
      </c>
      <c r="Q51" s="65">
        <f t="shared" si="6"/>
        <v>4966</v>
      </c>
      <c r="R51" s="65">
        <f t="shared" si="6"/>
        <v>4893</v>
      </c>
      <c r="S51" s="65">
        <f t="shared" si="6"/>
        <v>4820</v>
      </c>
      <c r="T51" s="65">
        <f t="shared" si="6"/>
        <v>4747</v>
      </c>
      <c r="U51" s="65">
        <f t="shared" si="6"/>
        <v>4674</v>
      </c>
      <c r="V51" s="65">
        <f t="shared" si="6"/>
        <v>4601</v>
      </c>
      <c r="W51" s="65">
        <f t="shared" si="6"/>
        <v>4528</v>
      </c>
      <c r="X51" s="65">
        <f t="shared" si="6"/>
        <v>4455</v>
      </c>
      <c r="Y51" s="60">
        <f t="shared" si="2"/>
        <v>4382</v>
      </c>
      <c r="Z51" s="52" t="s">
        <v>295</v>
      </c>
    </row>
    <row r="52" spans="1:26" x14ac:dyDescent="0.35">
      <c r="A52" s="60" t="str">
        <f>VLOOKUP(B52,IKP!$Q$6:$R$124,2,FALSE)</f>
        <v>Vidzemes statistiskais reģions</v>
      </c>
      <c r="B52" s="59" t="s">
        <v>48</v>
      </c>
      <c r="C52" s="65"/>
      <c r="D52" s="65">
        <v>2333</v>
      </c>
      <c r="E52" s="65">
        <v>2319</v>
      </c>
      <c r="F52" s="65">
        <v>2293</v>
      </c>
      <c r="G52" s="65">
        <v>2193</v>
      </c>
      <c r="H52" s="65">
        <v>2139</v>
      </c>
      <c r="I52" s="65">
        <v>2086</v>
      </c>
      <c r="J52" s="65">
        <v>2019</v>
      </c>
      <c r="K52" s="65">
        <v>2011</v>
      </c>
      <c r="L52" s="65">
        <v>1992</v>
      </c>
      <c r="M52" s="67">
        <v>1545</v>
      </c>
      <c r="P52" s="65">
        <f t="shared" si="5"/>
        <v>1992</v>
      </c>
      <c r="Q52" s="65">
        <f t="shared" si="6"/>
        <v>1942</v>
      </c>
      <c r="R52" s="65">
        <f t="shared" si="6"/>
        <v>1893</v>
      </c>
      <c r="S52" s="65">
        <f t="shared" si="6"/>
        <v>1843</v>
      </c>
      <c r="T52" s="65">
        <f t="shared" si="6"/>
        <v>1793</v>
      </c>
      <c r="U52" s="65">
        <f t="shared" si="6"/>
        <v>1744</v>
      </c>
      <c r="V52" s="65">
        <f t="shared" si="6"/>
        <v>1694</v>
      </c>
      <c r="W52" s="65">
        <f t="shared" si="6"/>
        <v>1644</v>
      </c>
      <c r="X52" s="65">
        <f t="shared" si="6"/>
        <v>1595</v>
      </c>
      <c r="Y52" s="60">
        <f t="shared" si="2"/>
        <v>1545</v>
      </c>
      <c r="Z52" s="52" t="s">
        <v>294</v>
      </c>
    </row>
    <row r="53" spans="1:26" x14ac:dyDescent="0.35">
      <c r="A53" s="60" t="str">
        <f>VLOOKUP(B53,IKP!$Q$6:$R$124,2,FALSE)</f>
        <v>Pierīgas statistiskais reģions</v>
      </c>
      <c r="B53" s="59" t="s">
        <v>49</v>
      </c>
      <c r="C53" s="65"/>
      <c r="D53" s="65">
        <v>2461</v>
      </c>
      <c r="E53" s="65">
        <v>2444</v>
      </c>
      <c r="F53" s="65">
        <v>2406</v>
      </c>
      <c r="G53" s="65">
        <v>2338</v>
      </c>
      <c r="H53" s="65">
        <v>2280</v>
      </c>
      <c r="I53" s="65">
        <v>2239</v>
      </c>
      <c r="J53" s="65">
        <v>2178</v>
      </c>
      <c r="K53" s="65">
        <v>2198</v>
      </c>
      <c r="L53" s="65">
        <v>2188</v>
      </c>
      <c r="M53" s="67">
        <v>1918</v>
      </c>
      <c r="P53" s="65">
        <f t="shared" si="5"/>
        <v>2188</v>
      </c>
      <c r="Q53" s="65">
        <f t="shared" si="6"/>
        <v>2158</v>
      </c>
      <c r="R53" s="65">
        <f t="shared" si="6"/>
        <v>2128</v>
      </c>
      <c r="S53" s="65">
        <f t="shared" si="6"/>
        <v>2098</v>
      </c>
      <c r="T53" s="65">
        <f t="shared" si="6"/>
        <v>2068</v>
      </c>
      <c r="U53" s="65">
        <f t="shared" si="6"/>
        <v>2038</v>
      </c>
      <c r="V53" s="65">
        <f t="shared" si="6"/>
        <v>2008</v>
      </c>
      <c r="W53" s="65">
        <f t="shared" si="6"/>
        <v>1978</v>
      </c>
      <c r="X53" s="65">
        <f t="shared" si="6"/>
        <v>1948</v>
      </c>
      <c r="Y53" s="60">
        <f t="shared" si="2"/>
        <v>1918</v>
      </c>
      <c r="Z53" s="52" t="s">
        <v>292</v>
      </c>
    </row>
    <row r="54" spans="1:26" x14ac:dyDescent="0.35">
      <c r="A54" s="60" t="str">
        <f>VLOOKUP(B54,IKP!$Q$6:$R$124,2,FALSE)</f>
        <v>Zemgales statistiskais reģions</v>
      </c>
      <c r="B54" s="59" t="s">
        <v>50</v>
      </c>
      <c r="C54" s="65"/>
      <c r="D54" s="65">
        <v>24295</v>
      </c>
      <c r="E54" s="65">
        <v>23778</v>
      </c>
      <c r="F54" s="65">
        <v>23360</v>
      </c>
      <c r="G54" s="65">
        <v>22860</v>
      </c>
      <c r="H54" s="65">
        <v>22443</v>
      </c>
      <c r="I54" s="65">
        <v>22244</v>
      </c>
      <c r="J54" s="65">
        <v>22011</v>
      </c>
      <c r="K54" s="65">
        <v>22187</v>
      </c>
      <c r="L54" s="65">
        <v>22021</v>
      </c>
      <c r="M54" s="67">
        <v>18471</v>
      </c>
      <c r="P54" s="65">
        <f t="shared" si="5"/>
        <v>22021</v>
      </c>
      <c r="Q54" s="65">
        <f t="shared" si="6"/>
        <v>21627</v>
      </c>
      <c r="R54" s="65">
        <f t="shared" si="6"/>
        <v>21232</v>
      </c>
      <c r="S54" s="65">
        <f t="shared" si="6"/>
        <v>20838</v>
      </c>
      <c r="T54" s="65">
        <f t="shared" si="6"/>
        <v>20443</v>
      </c>
      <c r="U54" s="65">
        <f t="shared" si="6"/>
        <v>20049</v>
      </c>
      <c r="V54" s="65">
        <f t="shared" si="6"/>
        <v>19654</v>
      </c>
      <c r="W54" s="65">
        <f t="shared" si="6"/>
        <v>19260</v>
      </c>
      <c r="X54" s="65">
        <f t="shared" si="6"/>
        <v>18865</v>
      </c>
      <c r="Y54" s="60">
        <f t="shared" si="2"/>
        <v>18471</v>
      </c>
      <c r="Z54" s="52" t="s">
        <v>295</v>
      </c>
    </row>
    <row r="55" spans="1:26" x14ac:dyDescent="0.35">
      <c r="A55" s="60" t="str">
        <f>VLOOKUP(B55,IKP!$Q$6:$R$124,2,FALSE)</f>
        <v>Zemgales statistiskais reģions</v>
      </c>
      <c r="B55" s="59" t="s">
        <v>51</v>
      </c>
      <c r="C55" s="65"/>
      <c r="D55" s="65">
        <v>4956</v>
      </c>
      <c r="E55" s="65">
        <v>4860</v>
      </c>
      <c r="F55" s="65">
        <v>4772</v>
      </c>
      <c r="G55" s="65">
        <v>4689</v>
      </c>
      <c r="H55" s="65">
        <v>4548</v>
      </c>
      <c r="I55" s="65">
        <v>4419</v>
      </c>
      <c r="J55" s="65">
        <v>4293</v>
      </c>
      <c r="K55" s="65">
        <v>4234</v>
      </c>
      <c r="L55" s="65">
        <v>4164</v>
      </c>
      <c r="M55" s="67">
        <v>3397</v>
      </c>
      <c r="P55" s="65">
        <f t="shared" si="5"/>
        <v>4164</v>
      </c>
      <c r="Q55" s="65">
        <f t="shared" si="6"/>
        <v>4079</v>
      </c>
      <c r="R55" s="65">
        <f t="shared" si="6"/>
        <v>3994</v>
      </c>
      <c r="S55" s="65">
        <f t="shared" si="6"/>
        <v>3908</v>
      </c>
      <c r="T55" s="65">
        <f t="shared" si="6"/>
        <v>3823</v>
      </c>
      <c r="U55" s="65">
        <f t="shared" si="6"/>
        <v>3738</v>
      </c>
      <c r="V55" s="65">
        <f t="shared" si="6"/>
        <v>3653</v>
      </c>
      <c r="W55" s="65">
        <f t="shared" si="6"/>
        <v>3567</v>
      </c>
      <c r="X55" s="65">
        <f t="shared" si="6"/>
        <v>3482</v>
      </c>
      <c r="Y55" s="60">
        <f t="shared" si="2"/>
        <v>3397</v>
      </c>
      <c r="Z55" s="52" t="s">
        <v>295</v>
      </c>
    </row>
    <row r="56" spans="1:26" x14ac:dyDescent="0.35">
      <c r="A56" s="60" t="str">
        <f>VLOOKUP(B56,IKP!$Q$6:$R$124,2,FALSE)</f>
        <v>Pierīgas statistiskais reģions</v>
      </c>
      <c r="B56" s="59" t="s">
        <v>52</v>
      </c>
      <c r="C56" s="65"/>
      <c r="D56" s="65">
        <v>8808</v>
      </c>
      <c r="E56" s="65">
        <v>8672</v>
      </c>
      <c r="F56" s="65">
        <v>8504</v>
      </c>
      <c r="G56" s="65">
        <v>8332</v>
      </c>
      <c r="H56" s="65">
        <v>8085</v>
      </c>
      <c r="I56" s="65">
        <v>7853</v>
      </c>
      <c r="J56" s="65">
        <v>7664</v>
      </c>
      <c r="K56" s="65">
        <v>7553</v>
      </c>
      <c r="L56" s="65">
        <v>7462</v>
      </c>
      <c r="M56" s="67">
        <v>6295</v>
      </c>
      <c r="P56" s="65">
        <f t="shared" si="5"/>
        <v>7462</v>
      </c>
      <c r="Q56" s="65">
        <f t="shared" si="6"/>
        <v>7332</v>
      </c>
      <c r="R56" s="65">
        <f t="shared" si="6"/>
        <v>7203</v>
      </c>
      <c r="S56" s="65">
        <f t="shared" si="6"/>
        <v>7073</v>
      </c>
      <c r="T56" s="65">
        <f t="shared" si="6"/>
        <v>6943</v>
      </c>
      <c r="U56" s="65">
        <f t="shared" si="6"/>
        <v>6814</v>
      </c>
      <c r="V56" s="65">
        <f t="shared" si="6"/>
        <v>6684</v>
      </c>
      <c r="W56" s="65">
        <f t="shared" si="6"/>
        <v>6554</v>
      </c>
      <c r="X56" s="65">
        <f t="shared" si="6"/>
        <v>6425</v>
      </c>
      <c r="Y56" s="60">
        <f t="shared" si="2"/>
        <v>6295</v>
      </c>
      <c r="Z56" s="52" t="s">
        <v>292</v>
      </c>
    </row>
    <row r="57" spans="1:26" x14ac:dyDescent="0.35">
      <c r="A57" s="60" t="str">
        <f>VLOOKUP(B57,IKP!$Q$6:$R$124,2,FALSE)</f>
        <v>Latgales statistiskais reģions</v>
      </c>
      <c r="B57" s="59" t="s">
        <v>53</v>
      </c>
      <c r="C57" s="65"/>
      <c r="D57" s="65">
        <v>6034</v>
      </c>
      <c r="E57" s="65">
        <v>5913</v>
      </c>
      <c r="F57" s="65">
        <v>5812</v>
      </c>
      <c r="G57" s="65">
        <v>5679</v>
      </c>
      <c r="H57" s="65">
        <v>5532</v>
      </c>
      <c r="I57" s="65">
        <v>5393</v>
      </c>
      <c r="J57" s="65">
        <v>5278</v>
      </c>
      <c r="K57" s="65">
        <v>5238</v>
      </c>
      <c r="L57" s="65">
        <v>5127</v>
      </c>
      <c r="M57" s="67">
        <v>4017</v>
      </c>
      <c r="P57" s="65">
        <f t="shared" si="5"/>
        <v>5127</v>
      </c>
      <c r="Q57" s="65">
        <f t="shared" si="6"/>
        <v>5004</v>
      </c>
      <c r="R57" s="65">
        <f t="shared" si="6"/>
        <v>4880</v>
      </c>
      <c r="S57" s="65">
        <f t="shared" si="6"/>
        <v>4757</v>
      </c>
      <c r="T57" s="65">
        <f t="shared" si="6"/>
        <v>4634</v>
      </c>
      <c r="U57" s="65">
        <f t="shared" si="6"/>
        <v>4510</v>
      </c>
      <c r="V57" s="65">
        <f t="shared" si="6"/>
        <v>4387</v>
      </c>
      <c r="W57" s="65">
        <f t="shared" si="6"/>
        <v>4264</v>
      </c>
      <c r="X57" s="65">
        <f t="shared" si="6"/>
        <v>4140</v>
      </c>
      <c r="Y57" s="60">
        <f t="shared" si="2"/>
        <v>4017</v>
      </c>
      <c r="Z57" s="52" t="s">
        <v>296</v>
      </c>
    </row>
    <row r="58" spans="1:26" x14ac:dyDescent="0.35">
      <c r="A58" s="60" t="str">
        <f>VLOOKUP(B58,IKP!$Q$6:$R$124,2,FALSE)</f>
        <v>Vidzemes statistiskais reģions</v>
      </c>
      <c r="B58" s="59" t="s">
        <v>54</v>
      </c>
      <c r="C58" s="65"/>
      <c r="D58" s="65">
        <v>6263</v>
      </c>
      <c r="E58" s="65">
        <v>6226</v>
      </c>
      <c r="F58" s="65">
        <v>6147</v>
      </c>
      <c r="G58" s="65">
        <v>6092</v>
      </c>
      <c r="H58" s="65">
        <v>5980</v>
      </c>
      <c r="I58" s="65">
        <v>5912</v>
      </c>
      <c r="J58" s="65">
        <v>5832</v>
      </c>
      <c r="K58" s="65">
        <v>5806</v>
      </c>
      <c r="L58" s="65">
        <v>5776</v>
      </c>
      <c r="M58" s="67">
        <v>4975</v>
      </c>
      <c r="P58" s="65">
        <f t="shared" si="5"/>
        <v>5776</v>
      </c>
      <c r="Q58" s="65">
        <f t="shared" si="6"/>
        <v>5687</v>
      </c>
      <c r="R58" s="65">
        <f t="shared" si="6"/>
        <v>5598</v>
      </c>
      <c r="S58" s="65">
        <f t="shared" si="6"/>
        <v>5509</v>
      </c>
      <c r="T58" s="65">
        <f t="shared" si="6"/>
        <v>5420</v>
      </c>
      <c r="U58" s="65">
        <f t="shared" si="6"/>
        <v>5331</v>
      </c>
      <c r="V58" s="65">
        <f t="shared" si="6"/>
        <v>5242</v>
      </c>
      <c r="W58" s="65">
        <f t="shared" si="6"/>
        <v>5153</v>
      </c>
      <c r="X58" s="65">
        <f t="shared" si="6"/>
        <v>5064</v>
      </c>
      <c r="Y58" s="60">
        <f t="shared" si="2"/>
        <v>4975</v>
      </c>
      <c r="Z58" s="52" t="s">
        <v>294</v>
      </c>
    </row>
    <row r="59" spans="1:26" x14ac:dyDescent="0.35">
      <c r="A59" s="60" t="str">
        <f>VLOOKUP(B59,IKP!$Q$6:$R$124,2,FALSE)</f>
        <v>Zemgales statistiskais reģions</v>
      </c>
      <c r="B59" s="59" t="s">
        <v>55</v>
      </c>
      <c r="C59" s="65"/>
      <c r="D59" s="65">
        <v>5384</v>
      </c>
      <c r="E59" s="65">
        <v>5334</v>
      </c>
      <c r="F59" s="65">
        <v>5295</v>
      </c>
      <c r="G59" s="65">
        <v>5217</v>
      </c>
      <c r="H59" s="65">
        <v>5099</v>
      </c>
      <c r="I59" s="65">
        <v>5020</v>
      </c>
      <c r="J59" s="65">
        <v>5013</v>
      </c>
      <c r="K59" s="65">
        <v>4945</v>
      </c>
      <c r="L59" s="65">
        <v>4851</v>
      </c>
      <c r="M59" s="67">
        <v>4292</v>
      </c>
      <c r="P59" s="65">
        <f t="shared" si="5"/>
        <v>4851</v>
      </c>
      <c r="Q59" s="65">
        <f t="shared" si="6"/>
        <v>4789</v>
      </c>
      <c r="R59" s="65">
        <f t="shared" si="6"/>
        <v>4727</v>
      </c>
      <c r="S59" s="65">
        <f t="shared" si="6"/>
        <v>4665</v>
      </c>
      <c r="T59" s="65">
        <f t="shared" si="6"/>
        <v>4603</v>
      </c>
      <c r="U59" s="65">
        <f t="shared" si="6"/>
        <v>4540</v>
      </c>
      <c r="V59" s="65">
        <f t="shared" si="6"/>
        <v>4478</v>
      </c>
      <c r="W59" s="65">
        <f t="shared" si="6"/>
        <v>4416</v>
      </c>
      <c r="X59" s="65">
        <f t="shared" si="6"/>
        <v>4354</v>
      </c>
      <c r="Y59" s="60">
        <f t="shared" si="2"/>
        <v>4292</v>
      </c>
      <c r="Z59" s="52" t="s">
        <v>295</v>
      </c>
    </row>
    <row r="60" spans="1:26" x14ac:dyDescent="0.35">
      <c r="A60" s="60" t="str">
        <f>VLOOKUP(B60,IKP!$Q$6:$R$124,2,FALSE)</f>
        <v>Latgales statistiskais reģions</v>
      </c>
      <c r="B60" s="59" t="s">
        <v>56</v>
      </c>
      <c r="C60" s="65"/>
      <c r="D60" s="65">
        <v>16755</v>
      </c>
      <c r="E60" s="65">
        <v>16291</v>
      </c>
      <c r="F60" s="65">
        <v>15854</v>
      </c>
      <c r="G60" s="65">
        <v>15436</v>
      </c>
      <c r="H60" s="65">
        <v>14963</v>
      </c>
      <c r="I60" s="65">
        <v>14542</v>
      </c>
      <c r="J60" s="65">
        <v>14155</v>
      </c>
      <c r="K60" s="65">
        <v>13863</v>
      </c>
      <c r="L60" s="65">
        <v>13533</v>
      </c>
      <c r="M60" s="67">
        <v>10155</v>
      </c>
      <c r="P60" s="65">
        <f t="shared" si="5"/>
        <v>13533</v>
      </c>
      <c r="Q60" s="65">
        <f t="shared" si="6"/>
        <v>13158</v>
      </c>
      <c r="R60" s="65">
        <f t="shared" si="6"/>
        <v>12782</v>
      </c>
      <c r="S60" s="65">
        <f t="shared" si="6"/>
        <v>12407</v>
      </c>
      <c r="T60" s="65">
        <f t="shared" si="6"/>
        <v>12032</v>
      </c>
      <c r="U60" s="65">
        <f t="shared" si="6"/>
        <v>11656</v>
      </c>
      <c r="V60" s="65">
        <f t="shared" si="6"/>
        <v>11281</v>
      </c>
      <c r="W60" s="65">
        <f t="shared" si="6"/>
        <v>10906</v>
      </c>
      <c r="X60" s="65">
        <f t="shared" si="6"/>
        <v>10530</v>
      </c>
      <c r="Y60" s="60">
        <f t="shared" si="2"/>
        <v>10155</v>
      </c>
      <c r="Z60" s="52" t="s">
        <v>296</v>
      </c>
    </row>
    <row r="61" spans="1:26" x14ac:dyDescent="0.35">
      <c r="A61" s="60" t="str">
        <f>VLOOKUP(B61,IKP!$Q$6:$R$124,2,FALSE)</f>
        <v>Pierīgas statistiskais reģions</v>
      </c>
      <c r="B61" s="59" t="s">
        <v>57</v>
      </c>
      <c r="C61" s="65"/>
      <c r="D61" s="65">
        <v>5232</v>
      </c>
      <c r="E61" s="65">
        <v>5176</v>
      </c>
      <c r="F61" s="65">
        <v>5169</v>
      </c>
      <c r="G61" s="65">
        <v>5109</v>
      </c>
      <c r="H61" s="65">
        <v>4969</v>
      </c>
      <c r="I61" s="65">
        <v>4885</v>
      </c>
      <c r="J61" s="65">
        <v>4858</v>
      </c>
      <c r="K61" s="65">
        <v>4893</v>
      </c>
      <c r="L61" s="65">
        <v>4833</v>
      </c>
      <c r="M61" s="67">
        <v>4209</v>
      </c>
      <c r="P61" s="65">
        <f t="shared" si="5"/>
        <v>4833</v>
      </c>
      <c r="Q61" s="65">
        <f t="shared" si="6"/>
        <v>4764</v>
      </c>
      <c r="R61" s="65">
        <f t="shared" si="6"/>
        <v>4694</v>
      </c>
      <c r="S61" s="65">
        <f t="shared" si="6"/>
        <v>4625</v>
      </c>
      <c r="T61" s="65">
        <f t="shared" si="6"/>
        <v>4556</v>
      </c>
      <c r="U61" s="65">
        <f t="shared" si="6"/>
        <v>4486</v>
      </c>
      <c r="V61" s="65">
        <f t="shared" si="6"/>
        <v>4417</v>
      </c>
      <c r="W61" s="65">
        <f t="shared" si="6"/>
        <v>4348</v>
      </c>
      <c r="X61" s="65">
        <f t="shared" si="6"/>
        <v>4278</v>
      </c>
      <c r="Y61" s="60">
        <f t="shared" si="2"/>
        <v>4209</v>
      </c>
      <c r="Z61" s="52" t="s">
        <v>292</v>
      </c>
    </row>
    <row r="62" spans="1:26" x14ac:dyDescent="0.35">
      <c r="A62" s="60" t="str">
        <f>VLOOKUP(B62,IKP!$Q$6:$R$124,2,FALSE)</f>
        <v>Zemgales statistiskais reģions</v>
      </c>
      <c r="B62" s="59" t="s">
        <v>58</v>
      </c>
      <c r="C62" s="65"/>
      <c r="D62" s="65">
        <v>6053</v>
      </c>
      <c r="E62" s="65">
        <v>5977</v>
      </c>
      <c r="F62" s="65">
        <v>5908</v>
      </c>
      <c r="G62" s="65">
        <v>5828</v>
      </c>
      <c r="H62" s="65">
        <v>5747</v>
      </c>
      <c r="I62" s="65">
        <v>5603</v>
      </c>
      <c r="J62" s="65">
        <v>5496</v>
      </c>
      <c r="K62" s="65">
        <v>5547</v>
      </c>
      <c r="L62" s="65">
        <v>5461</v>
      </c>
      <c r="M62" s="67">
        <v>4811</v>
      </c>
      <c r="P62" s="65">
        <f t="shared" si="5"/>
        <v>5461</v>
      </c>
      <c r="Q62" s="65">
        <f t="shared" si="6"/>
        <v>5389</v>
      </c>
      <c r="R62" s="65">
        <f t="shared" si="6"/>
        <v>5317</v>
      </c>
      <c r="S62" s="65">
        <f t="shared" si="6"/>
        <v>5244</v>
      </c>
      <c r="T62" s="65">
        <f t="shared" si="6"/>
        <v>5172</v>
      </c>
      <c r="U62" s="65">
        <f t="shared" si="6"/>
        <v>5100</v>
      </c>
      <c r="V62" s="65">
        <f t="shared" si="6"/>
        <v>5028</v>
      </c>
      <c r="W62" s="65">
        <f t="shared" si="6"/>
        <v>4955</v>
      </c>
      <c r="X62" s="65">
        <f t="shared" si="6"/>
        <v>4883</v>
      </c>
      <c r="Y62" s="60">
        <f t="shared" si="2"/>
        <v>4811</v>
      </c>
      <c r="Z62" s="52" t="s">
        <v>295</v>
      </c>
    </row>
    <row r="63" spans="1:26" x14ac:dyDescent="0.35">
      <c r="A63" s="60" t="str">
        <f>VLOOKUP(B63,IKP!$Q$6:$R$124,2,FALSE)</f>
        <v>Kurzemes statistiskais reģions</v>
      </c>
      <c r="B63" s="59" t="s">
        <v>59</v>
      </c>
      <c r="C63" s="65"/>
      <c r="D63" s="65">
        <v>24539</v>
      </c>
      <c r="E63" s="65">
        <v>24190</v>
      </c>
      <c r="F63" s="65">
        <v>23898</v>
      </c>
      <c r="G63" s="65">
        <v>23515</v>
      </c>
      <c r="H63" s="65">
        <v>22989</v>
      </c>
      <c r="I63" s="65">
        <v>22630</v>
      </c>
      <c r="J63" s="65">
        <v>22313</v>
      </c>
      <c r="K63" s="65">
        <v>22214</v>
      </c>
      <c r="L63" s="65">
        <v>21907</v>
      </c>
      <c r="M63" s="67">
        <v>18878</v>
      </c>
      <c r="P63" s="65">
        <f t="shared" si="5"/>
        <v>21907</v>
      </c>
      <c r="Q63" s="65">
        <f t="shared" si="6"/>
        <v>21570</v>
      </c>
      <c r="R63" s="65">
        <f t="shared" si="6"/>
        <v>21234</v>
      </c>
      <c r="S63" s="65">
        <f t="shared" si="6"/>
        <v>20897</v>
      </c>
      <c r="T63" s="65">
        <f t="shared" si="6"/>
        <v>20561</v>
      </c>
      <c r="U63" s="65">
        <f t="shared" si="6"/>
        <v>20224</v>
      </c>
      <c r="V63" s="65">
        <f t="shared" si="6"/>
        <v>19888</v>
      </c>
      <c r="W63" s="65">
        <f t="shared" si="6"/>
        <v>19551</v>
      </c>
      <c r="X63" s="65">
        <f t="shared" si="6"/>
        <v>19215</v>
      </c>
      <c r="Y63" s="60">
        <f t="shared" si="2"/>
        <v>18878</v>
      </c>
      <c r="Z63" s="52" t="s">
        <v>293</v>
      </c>
    </row>
    <row r="64" spans="1:26" x14ac:dyDescent="0.35">
      <c r="A64" s="60" t="str">
        <f>VLOOKUP(B64,IKP!$Q$6:$R$124,2,FALSE)</f>
        <v>Pierīgas statistiskais reģions</v>
      </c>
      <c r="B64" s="59" t="s">
        <v>60</v>
      </c>
      <c r="C64" s="65"/>
      <c r="D64" s="65">
        <v>5650</v>
      </c>
      <c r="E64" s="65">
        <v>5586</v>
      </c>
      <c r="F64" s="65">
        <v>5546</v>
      </c>
      <c r="G64" s="65">
        <v>5448</v>
      </c>
      <c r="H64" s="65">
        <v>5427</v>
      </c>
      <c r="I64" s="65">
        <v>5374</v>
      </c>
      <c r="J64" s="65">
        <v>5344</v>
      </c>
      <c r="K64" s="65">
        <v>5335</v>
      </c>
      <c r="L64" s="65">
        <v>5313</v>
      </c>
      <c r="M64" s="67">
        <v>4786</v>
      </c>
      <c r="P64" s="65">
        <f t="shared" si="5"/>
        <v>5313</v>
      </c>
      <c r="Q64" s="65">
        <f t="shared" si="6"/>
        <v>5254</v>
      </c>
      <c r="R64" s="65">
        <f t="shared" si="6"/>
        <v>5196</v>
      </c>
      <c r="S64" s="65">
        <f t="shared" si="6"/>
        <v>5137</v>
      </c>
      <c r="T64" s="65">
        <f t="shared" si="6"/>
        <v>5079</v>
      </c>
      <c r="U64" s="65">
        <f t="shared" si="6"/>
        <v>5020</v>
      </c>
      <c r="V64" s="65">
        <f t="shared" si="6"/>
        <v>4962</v>
      </c>
      <c r="W64" s="65">
        <f t="shared" si="6"/>
        <v>4903</v>
      </c>
      <c r="X64" s="65">
        <f t="shared" si="6"/>
        <v>4845</v>
      </c>
      <c r="Y64" s="60">
        <f t="shared" si="2"/>
        <v>4786</v>
      </c>
      <c r="Z64" s="52" t="s">
        <v>292</v>
      </c>
    </row>
    <row r="65" spans="1:26" x14ac:dyDescent="0.35">
      <c r="A65" s="60" t="str">
        <f>VLOOKUP(B65,IKP!$Q$6:$R$124,2,FALSE)</f>
        <v>Pierīgas statistiskais reģions</v>
      </c>
      <c r="B65" s="59" t="s">
        <v>61</v>
      </c>
      <c r="C65" s="65"/>
      <c r="D65" s="65">
        <v>22337</v>
      </c>
      <c r="E65" s="65">
        <v>22335</v>
      </c>
      <c r="F65" s="65">
        <v>22630</v>
      </c>
      <c r="G65" s="65">
        <v>22745</v>
      </c>
      <c r="H65" s="65">
        <v>22639</v>
      </c>
      <c r="I65" s="65">
        <v>23042</v>
      </c>
      <c r="J65" s="65">
        <v>23698</v>
      </c>
      <c r="K65" s="65">
        <v>24269</v>
      </c>
      <c r="L65" s="65">
        <v>24631</v>
      </c>
      <c r="M65" s="67">
        <v>24889</v>
      </c>
      <c r="P65" s="65">
        <f t="shared" si="5"/>
        <v>24631</v>
      </c>
      <c r="Q65" s="65">
        <f t="shared" si="6"/>
        <v>24660</v>
      </c>
      <c r="R65" s="65">
        <f t="shared" si="6"/>
        <v>24688</v>
      </c>
      <c r="S65" s="65">
        <f t="shared" si="6"/>
        <v>24717</v>
      </c>
      <c r="T65" s="65">
        <f t="shared" si="6"/>
        <v>24746</v>
      </c>
      <c r="U65" s="65">
        <f t="shared" si="6"/>
        <v>24774</v>
      </c>
      <c r="V65" s="65">
        <f t="shared" si="6"/>
        <v>24803</v>
      </c>
      <c r="W65" s="65">
        <f t="shared" si="6"/>
        <v>24832</v>
      </c>
      <c r="X65" s="65">
        <f t="shared" si="6"/>
        <v>24860</v>
      </c>
      <c r="Y65" s="60">
        <f t="shared" si="2"/>
        <v>24889</v>
      </c>
      <c r="Z65" s="52" t="s">
        <v>292</v>
      </c>
    </row>
    <row r="66" spans="1:26" x14ac:dyDescent="0.35">
      <c r="A66" s="60" t="str">
        <f>VLOOKUP(B66,IKP!$Q$6:$R$124,2,FALSE)</f>
        <v>Pierīgas statistiskais reģions</v>
      </c>
      <c r="B66" s="59" t="s">
        <v>62</v>
      </c>
      <c r="C66" s="65"/>
      <c r="D66" s="65">
        <v>10282</v>
      </c>
      <c r="E66" s="65">
        <v>10174</v>
      </c>
      <c r="F66" s="65">
        <v>10050</v>
      </c>
      <c r="G66" s="65">
        <v>9958</v>
      </c>
      <c r="H66" s="65">
        <v>9758</v>
      </c>
      <c r="I66" s="65">
        <v>9735</v>
      </c>
      <c r="J66" s="65">
        <v>9643</v>
      </c>
      <c r="K66" s="65">
        <v>9624</v>
      </c>
      <c r="L66" s="65">
        <v>9547</v>
      </c>
      <c r="M66" s="67">
        <v>8686</v>
      </c>
      <c r="P66" s="65">
        <f t="shared" si="5"/>
        <v>9547</v>
      </c>
      <c r="Q66" s="65">
        <f t="shared" si="6"/>
        <v>9451</v>
      </c>
      <c r="R66" s="65">
        <f t="shared" si="6"/>
        <v>9356</v>
      </c>
      <c r="S66" s="65">
        <f t="shared" si="6"/>
        <v>9260</v>
      </c>
      <c r="T66" s="65">
        <f t="shared" si="6"/>
        <v>9164</v>
      </c>
      <c r="U66" s="65">
        <f t="shared" si="6"/>
        <v>9069</v>
      </c>
      <c r="V66" s="65">
        <f t="shared" si="6"/>
        <v>8973</v>
      </c>
      <c r="W66" s="65">
        <f t="shared" si="6"/>
        <v>8877</v>
      </c>
      <c r="X66" s="65">
        <f t="shared" si="6"/>
        <v>8782</v>
      </c>
      <c r="Y66" s="60">
        <f t="shared" si="2"/>
        <v>8686</v>
      </c>
      <c r="Z66" s="52" t="s">
        <v>292</v>
      </c>
    </row>
    <row r="67" spans="1:26" x14ac:dyDescent="0.35">
      <c r="A67" s="60" t="str">
        <f>VLOOKUP(B67,IKP!$Q$6:$R$124,2,FALSE)</f>
        <v>Pierīgas statistiskais reģions</v>
      </c>
      <c r="B67" s="59" t="s">
        <v>63</v>
      </c>
      <c r="C67" s="65"/>
      <c r="D67" s="65">
        <v>17498</v>
      </c>
      <c r="E67" s="65">
        <v>17262</v>
      </c>
      <c r="F67" s="65">
        <v>17098</v>
      </c>
      <c r="G67" s="65">
        <v>16836</v>
      </c>
      <c r="H67" s="65">
        <v>16571</v>
      </c>
      <c r="I67" s="65">
        <v>16312</v>
      </c>
      <c r="J67" s="65">
        <v>16301</v>
      </c>
      <c r="K67" s="65">
        <v>16772</v>
      </c>
      <c r="L67" s="65">
        <v>16744</v>
      </c>
      <c r="M67" s="67">
        <v>14017</v>
      </c>
      <c r="P67" s="65">
        <f t="shared" si="5"/>
        <v>16744</v>
      </c>
      <c r="Q67" s="65">
        <f t="shared" si="6"/>
        <v>16441</v>
      </c>
      <c r="R67" s="65">
        <f t="shared" si="6"/>
        <v>16138</v>
      </c>
      <c r="S67" s="65">
        <f t="shared" si="6"/>
        <v>15835</v>
      </c>
      <c r="T67" s="65">
        <f t="shared" si="6"/>
        <v>15532</v>
      </c>
      <c r="U67" s="65">
        <f t="shared" si="6"/>
        <v>15229</v>
      </c>
      <c r="V67" s="65">
        <f t="shared" si="6"/>
        <v>14926</v>
      </c>
      <c r="W67" s="65">
        <f t="shared" si="6"/>
        <v>14623</v>
      </c>
      <c r="X67" s="65">
        <f t="shared" si="6"/>
        <v>14320</v>
      </c>
      <c r="Y67" s="60">
        <f t="shared" si="2"/>
        <v>14017</v>
      </c>
      <c r="Z67" s="52" t="s">
        <v>292</v>
      </c>
    </row>
    <row r="68" spans="1:26" x14ac:dyDescent="0.35">
      <c r="A68" s="60" t="str">
        <f>VLOOKUP(B68,IKP!$Q$6:$R$124,2,FALSE)</f>
        <v>Vidzemes statistiskais reģions</v>
      </c>
      <c r="B68" s="59" t="s">
        <v>64</v>
      </c>
      <c r="C68" s="65"/>
      <c r="D68" s="65">
        <v>3603</v>
      </c>
      <c r="E68" s="65">
        <v>3532</v>
      </c>
      <c r="F68" s="65">
        <v>3481</v>
      </c>
      <c r="G68" s="65">
        <v>3404</v>
      </c>
      <c r="H68" s="65">
        <v>3314</v>
      </c>
      <c r="I68" s="65">
        <v>3262</v>
      </c>
      <c r="J68" s="65">
        <v>3264</v>
      </c>
      <c r="K68" s="65">
        <v>3261</v>
      </c>
      <c r="L68" s="65">
        <v>3258</v>
      </c>
      <c r="M68" s="67">
        <v>2478</v>
      </c>
      <c r="P68" s="65">
        <f t="shared" si="5"/>
        <v>3258</v>
      </c>
      <c r="Q68" s="65">
        <f t="shared" si="6"/>
        <v>3171</v>
      </c>
      <c r="R68" s="65">
        <f t="shared" si="6"/>
        <v>3085</v>
      </c>
      <c r="S68" s="65">
        <f t="shared" si="6"/>
        <v>2998</v>
      </c>
      <c r="T68" s="65">
        <f t="shared" si="6"/>
        <v>2911</v>
      </c>
      <c r="U68" s="65">
        <f t="shared" si="6"/>
        <v>2825</v>
      </c>
      <c r="V68" s="65">
        <f t="shared" si="6"/>
        <v>2738</v>
      </c>
      <c r="W68" s="65">
        <f t="shared" si="6"/>
        <v>2651</v>
      </c>
      <c r="X68" s="65">
        <f t="shared" si="6"/>
        <v>2565</v>
      </c>
      <c r="Y68" s="60">
        <f t="shared" si="2"/>
        <v>2478</v>
      </c>
      <c r="Z68" s="52" t="s">
        <v>294</v>
      </c>
    </row>
    <row r="69" spans="1:26" x14ac:dyDescent="0.35">
      <c r="A69" s="60" t="str">
        <f>VLOOKUP(B69,IKP!$Q$6:$R$124,2,FALSE)</f>
        <v>Latgales statistiskais reģions</v>
      </c>
      <c r="B69" s="59" t="s">
        <v>65</v>
      </c>
      <c r="C69" s="65"/>
      <c r="D69" s="65">
        <v>12030</v>
      </c>
      <c r="E69" s="65">
        <v>11799</v>
      </c>
      <c r="F69" s="65">
        <v>11652</v>
      </c>
      <c r="G69" s="65">
        <v>11473</v>
      </c>
      <c r="H69" s="65">
        <v>11200</v>
      </c>
      <c r="I69" s="65">
        <v>11029</v>
      </c>
      <c r="J69" s="65">
        <v>10832</v>
      </c>
      <c r="K69" s="65">
        <v>10833</v>
      </c>
      <c r="L69" s="65">
        <v>10636</v>
      </c>
      <c r="M69" s="67">
        <v>8637</v>
      </c>
      <c r="P69" s="65">
        <f t="shared" ref="P69:P123" si="7">L69</f>
        <v>10636</v>
      </c>
      <c r="Q69" s="65">
        <f t="shared" si="6"/>
        <v>10414</v>
      </c>
      <c r="R69" s="65">
        <f t="shared" si="6"/>
        <v>10192</v>
      </c>
      <c r="S69" s="65">
        <f t="shared" si="6"/>
        <v>9970</v>
      </c>
      <c r="T69" s="65">
        <f t="shared" si="6"/>
        <v>9748</v>
      </c>
      <c r="U69" s="65">
        <f t="shared" si="6"/>
        <v>9525</v>
      </c>
      <c r="V69" s="65">
        <f t="shared" si="6"/>
        <v>9303</v>
      </c>
      <c r="W69" s="65">
        <f t="shared" si="6"/>
        <v>9081</v>
      </c>
      <c r="X69" s="65">
        <f t="shared" ref="R69:X106" si="8">ROUND((_xlfn.FORECAST.LINEAR(X$3,$L69:$M69,$L$3:$M$3)),0)</f>
        <v>8859</v>
      </c>
      <c r="Y69" s="60">
        <f t="shared" ref="Y69:Y123" si="9">M69</f>
        <v>8637</v>
      </c>
      <c r="Z69" s="52" t="s">
        <v>296</v>
      </c>
    </row>
    <row r="70" spans="1:26" x14ac:dyDescent="0.35">
      <c r="A70" s="60" t="str">
        <f>VLOOKUP(B70,IKP!$Q$6:$R$124,2,FALSE)</f>
        <v>Vidzemes statistiskais reģions</v>
      </c>
      <c r="B70" s="59" t="s">
        <v>66</v>
      </c>
      <c r="C70" s="65"/>
      <c r="D70" s="65">
        <v>2502</v>
      </c>
      <c r="E70" s="65">
        <v>2475</v>
      </c>
      <c r="F70" s="65">
        <v>2444</v>
      </c>
      <c r="G70" s="65">
        <v>2371</v>
      </c>
      <c r="H70" s="65">
        <v>2312</v>
      </c>
      <c r="I70" s="65">
        <v>2287</v>
      </c>
      <c r="J70" s="65">
        <v>2226</v>
      </c>
      <c r="K70" s="65">
        <v>2223</v>
      </c>
      <c r="L70" s="65">
        <v>2163</v>
      </c>
      <c r="M70" s="67">
        <v>1805</v>
      </c>
      <c r="P70" s="65">
        <f t="shared" si="7"/>
        <v>2163</v>
      </c>
      <c r="Q70" s="65">
        <f t="shared" ref="Q70:Q123" si="10">ROUND((_xlfn.FORECAST.LINEAR(Q$3,$L70:$M70,$L$3:$M$3)),0)</f>
        <v>2123</v>
      </c>
      <c r="R70" s="65">
        <f t="shared" si="8"/>
        <v>2083</v>
      </c>
      <c r="S70" s="65">
        <f t="shared" si="8"/>
        <v>2044</v>
      </c>
      <c r="T70" s="65">
        <f t="shared" si="8"/>
        <v>2004</v>
      </c>
      <c r="U70" s="65">
        <f t="shared" si="8"/>
        <v>1964</v>
      </c>
      <c r="V70" s="65">
        <f t="shared" si="8"/>
        <v>1924</v>
      </c>
      <c r="W70" s="65">
        <f t="shared" si="8"/>
        <v>1885</v>
      </c>
      <c r="X70" s="65">
        <f t="shared" si="8"/>
        <v>1845</v>
      </c>
      <c r="Y70" s="60">
        <f t="shared" si="9"/>
        <v>1805</v>
      </c>
      <c r="Z70" s="52" t="s">
        <v>294</v>
      </c>
    </row>
    <row r="71" spans="1:26" x14ac:dyDescent="0.35">
      <c r="A71" s="60" t="str">
        <f>VLOOKUP(B71,IKP!$Q$6:$R$124,2,FALSE)</f>
        <v>Latgales statistiskais reģions</v>
      </c>
      <c r="B71" s="59" t="s">
        <v>67</v>
      </c>
      <c r="C71" s="65"/>
      <c r="D71" s="65">
        <v>13742</v>
      </c>
      <c r="E71" s="65">
        <v>13439</v>
      </c>
      <c r="F71" s="65">
        <v>13250</v>
      </c>
      <c r="G71" s="65">
        <v>12963</v>
      </c>
      <c r="H71" s="65">
        <v>12739</v>
      </c>
      <c r="I71" s="65">
        <v>12416</v>
      </c>
      <c r="J71" s="65">
        <v>12196</v>
      </c>
      <c r="K71" s="65">
        <v>11937</v>
      </c>
      <c r="L71" s="65">
        <v>11739</v>
      </c>
      <c r="M71" s="67">
        <v>9579</v>
      </c>
      <c r="P71" s="65">
        <f t="shared" si="7"/>
        <v>11739</v>
      </c>
      <c r="Q71" s="65">
        <f t="shared" si="10"/>
        <v>11499</v>
      </c>
      <c r="R71" s="65">
        <f t="shared" si="8"/>
        <v>11259</v>
      </c>
      <c r="S71" s="65">
        <f t="shared" si="8"/>
        <v>11019</v>
      </c>
      <c r="T71" s="65">
        <f t="shared" si="8"/>
        <v>10779</v>
      </c>
      <c r="U71" s="65">
        <f t="shared" si="8"/>
        <v>10539</v>
      </c>
      <c r="V71" s="65">
        <f t="shared" si="8"/>
        <v>10299</v>
      </c>
      <c r="W71" s="65">
        <f t="shared" si="8"/>
        <v>10059</v>
      </c>
      <c r="X71" s="65">
        <f t="shared" si="8"/>
        <v>9819</v>
      </c>
      <c r="Y71" s="60">
        <f t="shared" si="9"/>
        <v>9579</v>
      </c>
      <c r="Z71" s="52" t="s">
        <v>296</v>
      </c>
    </row>
    <row r="72" spans="1:26" x14ac:dyDescent="0.35">
      <c r="A72" s="60" t="str">
        <f>VLOOKUP(B72,IKP!$Q$6:$R$124,2,FALSE)</f>
        <v>Vidzemes statistiskais reģions</v>
      </c>
      <c r="B72" s="59" t="s">
        <v>68</v>
      </c>
      <c r="C72" s="65"/>
      <c r="D72" s="65">
        <v>24603</v>
      </c>
      <c r="E72" s="65">
        <v>24134</v>
      </c>
      <c r="F72" s="65">
        <v>23778</v>
      </c>
      <c r="G72" s="65">
        <v>23441</v>
      </c>
      <c r="H72" s="65">
        <v>22945</v>
      </c>
      <c r="I72" s="65">
        <v>22604</v>
      </c>
      <c r="J72" s="65">
        <v>22261</v>
      </c>
      <c r="K72" s="65">
        <v>22069</v>
      </c>
      <c r="L72" s="65">
        <v>21676</v>
      </c>
      <c r="M72" s="67">
        <v>17645</v>
      </c>
      <c r="P72" s="65">
        <f t="shared" si="7"/>
        <v>21676</v>
      </c>
      <c r="Q72" s="65">
        <f t="shared" si="10"/>
        <v>21228</v>
      </c>
      <c r="R72" s="65">
        <f t="shared" si="8"/>
        <v>20780</v>
      </c>
      <c r="S72" s="65">
        <f t="shared" si="8"/>
        <v>20332</v>
      </c>
      <c r="T72" s="65">
        <f t="shared" si="8"/>
        <v>19884</v>
      </c>
      <c r="U72" s="65">
        <f t="shared" si="8"/>
        <v>19437</v>
      </c>
      <c r="V72" s="65">
        <f t="shared" si="8"/>
        <v>18989</v>
      </c>
      <c r="W72" s="65">
        <f t="shared" si="8"/>
        <v>18541</v>
      </c>
      <c r="X72" s="65">
        <f t="shared" si="8"/>
        <v>18093</v>
      </c>
      <c r="Y72" s="60">
        <f t="shared" si="9"/>
        <v>17645</v>
      </c>
      <c r="Z72" s="52" t="s">
        <v>294</v>
      </c>
    </row>
    <row r="73" spans="1:26" x14ac:dyDescent="0.35">
      <c r="A73" s="60" t="str">
        <f>VLOOKUP(B73,IKP!$Q$6:$R$124,2,FALSE)</f>
        <v>Vidzemes statistiskais reģions</v>
      </c>
      <c r="B73" s="59" t="s">
        <v>69</v>
      </c>
      <c r="C73" s="65"/>
      <c r="D73" s="65">
        <v>3397</v>
      </c>
      <c r="E73" s="65">
        <v>3314</v>
      </c>
      <c r="F73" s="65">
        <v>3239</v>
      </c>
      <c r="G73" s="65">
        <v>3147</v>
      </c>
      <c r="H73" s="65">
        <v>3030</v>
      </c>
      <c r="I73" s="65">
        <v>2990</v>
      </c>
      <c r="J73" s="65">
        <v>2932</v>
      </c>
      <c r="K73" s="65">
        <v>2932</v>
      </c>
      <c r="L73" s="65">
        <v>2867</v>
      </c>
      <c r="M73" s="67">
        <v>2177</v>
      </c>
      <c r="P73" s="65">
        <f t="shared" si="7"/>
        <v>2867</v>
      </c>
      <c r="Q73" s="65">
        <f t="shared" si="10"/>
        <v>2790</v>
      </c>
      <c r="R73" s="65">
        <f t="shared" si="8"/>
        <v>2714</v>
      </c>
      <c r="S73" s="65">
        <f t="shared" si="8"/>
        <v>2637</v>
      </c>
      <c r="T73" s="65">
        <f t="shared" si="8"/>
        <v>2560</v>
      </c>
      <c r="U73" s="65">
        <f t="shared" si="8"/>
        <v>2484</v>
      </c>
      <c r="V73" s="65">
        <f t="shared" si="8"/>
        <v>2407</v>
      </c>
      <c r="W73" s="65">
        <f t="shared" si="8"/>
        <v>2330</v>
      </c>
      <c r="X73" s="65">
        <f t="shared" si="8"/>
        <v>2254</v>
      </c>
      <c r="Y73" s="60">
        <f t="shared" si="9"/>
        <v>2177</v>
      </c>
      <c r="Z73" s="52" t="s">
        <v>294</v>
      </c>
    </row>
    <row r="74" spans="1:26" x14ac:dyDescent="0.35">
      <c r="A74" s="60" t="str">
        <f>VLOOKUP(B74,IKP!$Q$6:$R$124,2,FALSE)</f>
        <v>Pierīgas statistiskais reģions</v>
      </c>
      <c r="B74" s="59" t="s">
        <v>70</v>
      </c>
      <c r="C74" s="65"/>
      <c r="D74" s="65">
        <v>3548</v>
      </c>
      <c r="E74" s="65">
        <v>3522</v>
      </c>
      <c r="F74" s="65">
        <v>3516</v>
      </c>
      <c r="G74" s="65">
        <v>3470</v>
      </c>
      <c r="H74" s="65">
        <v>3411</v>
      </c>
      <c r="I74" s="65">
        <v>3411</v>
      </c>
      <c r="J74" s="65">
        <v>3350</v>
      </c>
      <c r="K74" s="65">
        <v>3373</v>
      </c>
      <c r="L74" s="65">
        <v>3324</v>
      </c>
      <c r="M74" s="67">
        <v>3070</v>
      </c>
      <c r="P74" s="65">
        <f t="shared" si="7"/>
        <v>3324</v>
      </c>
      <c r="Q74" s="65">
        <f t="shared" si="10"/>
        <v>3296</v>
      </c>
      <c r="R74" s="65">
        <f t="shared" si="8"/>
        <v>3268</v>
      </c>
      <c r="S74" s="65">
        <f t="shared" si="8"/>
        <v>3239</v>
      </c>
      <c r="T74" s="65">
        <f t="shared" si="8"/>
        <v>3211</v>
      </c>
      <c r="U74" s="65">
        <f t="shared" si="8"/>
        <v>3183</v>
      </c>
      <c r="V74" s="65">
        <f t="shared" si="8"/>
        <v>3155</v>
      </c>
      <c r="W74" s="65">
        <f t="shared" si="8"/>
        <v>3126</v>
      </c>
      <c r="X74" s="65">
        <f t="shared" si="8"/>
        <v>3098</v>
      </c>
      <c r="Y74" s="60">
        <f t="shared" si="9"/>
        <v>3070</v>
      </c>
      <c r="Z74" s="52" t="s">
        <v>292</v>
      </c>
    </row>
    <row r="75" spans="1:26" x14ac:dyDescent="0.35">
      <c r="A75" s="60" t="str">
        <f>VLOOKUP(B75,IKP!$Q$6:$R$124,2,FALSE)</f>
        <v>Pierīgas statistiskais reģions</v>
      </c>
      <c r="B75" s="59" t="s">
        <v>71</v>
      </c>
      <c r="C75" s="65"/>
      <c r="D75" s="65">
        <v>16659</v>
      </c>
      <c r="E75" s="65">
        <v>16948</v>
      </c>
      <c r="F75" s="65">
        <v>17741</v>
      </c>
      <c r="G75" s="65">
        <v>18623</v>
      </c>
      <c r="H75" s="65">
        <v>18521</v>
      </c>
      <c r="I75" s="65">
        <v>19456</v>
      </c>
      <c r="J75" s="65">
        <v>20007</v>
      </c>
      <c r="K75" s="65">
        <v>20741</v>
      </c>
      <c r="L75" s="65">
        <v>21577</v>
      </c>
      <c r="M75" s="67">
        <v>28740</v>
      </c>
      <c r="P75" s="65">
        <f t="shared" si="7"/>
        <v>21577</v>
      </c>
      <c r="Q75" s="65">
        <f t="shared" si="10"/>
        <v>22373</v>
      </c>
      <c r="R75" s="65">
        <f t="shared" si="8"/>
        <v>23169</v>
      </c>
      <c r="S75" s="65">
        <f t="shared" si="8"/>
        <v>23965</v>
      </c>
      <c r="T75" s="65">
        <f t="shared" si="8"/>
        <v>24761</v>
      </c>
      <c r="U75" s="65">
        <f t="shared" si="8"/>
        <v>25556</v>
      </c>
      <c r="V75" s="65">
        <f t="shared" si="8"/>
        <v>26352</v>
      </c>
      <c r="W75" s="65">
        <f t="shared" si="8"/>
        <v>27148</v>
      </c>
      <c r="X75" s="65">
        <f t="shared" si="8"/>
        <v>27944</v>
      </c>
      <c r="Y75" s="60">
        <f t="shared" si="9"/>
        <v>28740</v>
      </c>
      <c r="Z75" s="52" t="s">
        <v>292</v>
      </c>
    </row>
    <row r="76" spans="1:26" x14ac:dyDescent="0.35">
      <c r="A76" s="60" t="str">
        <f>VLOOKUP(B76,IKP!$Q$6:$R$124,2,FALSE)</f>
        <v>Kurzemes statistiskais reģions</v>
      </c>
      <c r="B76" s="59" t="s">
        <v>72</v>
      </c>
      <c r="C76" s="65"/>
      <c r="D76" s="65">
        <v>1606</v>
      </c>
      <c r="E76" s="65">
        <v>1615</v>
      </c>
      <c r="F76" s="65">
        <v>1582</v>
      </c>
      <c r="G76" s="65">
        <v>1554</v>
      </c>
      <c r="H76" s="65">
        <v>1521</v>
      </c>
      <c r="I76" s="65">
        <v>1478</v>
      </c>
      <c r="J76" s="65">
        <v>1439</v>
      </c>
      <c r="K76" s="65">
        <v>1454</v>
      </c>
      <c r="L76" s="65">
        <v>1431</v>
      </c>
      <c r="M76" s="67">
        <v>1222</v>
      </c>
      <c r="P76" s="65">
        <f t="shared" si="7"/>
        <v>1431</v>
      </c>
      <c r="Q76" s="65">
        <f t="shared" si="10"/>
        <v>1408</v>
      </c>
      <c r="R76" s="65">
        <f t="shared" si="8"/>
        <v>1385</v>
      </c>
      <c r="S76" s="65">
        <f t="shared" si="8"/>
        <v>1361</v>
      </c>
      <c r="T76" s="65">
        <f t="shared" si="8"/>
        <v>1338</v>
      </c>
      <c r="U76" s="65">
        <f t="shared" si="8"/>
        <v>1315</v>
      </c>
      <c r="V76" s="65">
        <f t="shared" si="8"/>
        <v>1292</v>
      </c>
      <c r="W76" s="65">
        <f t="shared" si="8"/>
        <v>1268</v>
      </c>
      <c r="X76" s="65">
        <f t="shared" si="8"/>
        <v>1245</v>
      </c>
      <c r="Y76" s="60">
        <f t="shared" si="9"/>
        <v>1222</v>
      </c>
      <c r="Z76" s="52" t="s">
        <v>293</v>
      </c>
    </row>
    <row r="77" spans="1:26" x14ac:dyDescent="0.35">
      <c r="A77" s="60" t="str">
        <f>VLOOKUP(B77,IKP!$Q$6:$R$124,2,FALSE)</f>
        <v>Vidzemes statistiskais reģions</v>
      </c>
      <c r="B77" s="59" t="s">
        <v>73</v>
      </c>
      <c r="C77" s="65"/>
      <c r="D77" s="65">
        <v>1932</v>
      </c>
      <c r="E77" s="65">
        <v>1881</v>
      </c>
      <c r="F77" s="65">
        <v>1847</v>
      </c>
      <c r="G77" s="65">
        <v>1824</v>
      </c>
      <c r="H77" s="65">
        <v>1770</v>
      </c>
      <c r="I77" s="65">
        <v>1731</v>
      </c>
      <c r="J77" s="65">
        <v>1701</v>
      </c>
      <c r="K77" s="65">
        <v>1730</v>
      </c>
      <c r="L77" s="65">
        <v>1689</v>
      </c>
      <c r="M77" s="67">
        <v>1270</v>
      </c>
      <c r="P77" s="65">
        <f t="shared" si="7"/>
        <v>1689</v>
      </c>
      <c r="Q77" s="65">
        <f t="shared" si="10"/>
        <v>1642</v>
      </c>
      <c r="R77" s="65">
        <f t="shared" si="8"/>
        <v>1596</v>
      </c>
      <c r="S77" s="65">
        <f t="shared" si="8"/>
        <v>1549</v>
      </c>
      <c r="T77" s="65">
        <f t="shared" si="8"/>
        <v>1503</v>
      </c>
      <c r="U77" s="65">
        <f t="shared" si="8"/>
        <v>1456</v>
      </c>
      <c r="V77" s="65">
        <f t="shared" si="8"/>
        <v>1410</v>
      </c>
      <c r="W77" s="65">
        <f t="shared" si="8"/>
        <v>1363</v>
      </c>
      <c r="X77" s="65">
        <f t="shared" si="8"/>
        <v>1317</v>
      </c>
      <c r="Y77" s="60">
        <f t="shared" si="9"/>
        <v>1270</v>
      </c>
      <c r="Z77" s="52" t="s">
        <v>294</v>
      </c>
    </row>
    <row r="78" spans="1:26" x14ac:dyDescent="0.35">
      <c r="A78" s="60" t="str">
        <f>VLOOKUP(B78,IKP!$Q$6:$R$124,2,FALSE)</f>
        <v>Zemgales statistiskais reģions</v>
      </c>
      <c r="B78" s="59" t="s">
        <v>74</v>
      </c>
      <c r="C78" s="65"/>
      <c r="D78" s="65">
        <v>3846</v>
      </c>
      <c r="E78" s="65">
        <v>3760</v>
      </c>
      <c r="F78" s="65">
        <v>3706</v>
      </c>
      <c r="G78" s="65">
        <v>3638</v>
      </c>
      <c r="H78" s="65">
        <v>3507</v>
      </c>
      <c r="I78" s="65">
        <v>3442</v>
      </c>
      <c r="J78" s="65">
        <v>3376</v>
      </c>
      <c r="K78" s="65">
        <v>3336</v>
      </c>
      <c r="L78" s="65">
        <v>3278</v>
      </c>
      <c r="M78" s="67">
        <v>2766</v>
      </c>
      <c r="P78" s="65">
        <f t="shared" si="7"/>
        <v>3278</v>
      </c>
      <c r="Q78" s="65">
        <f t="shared" si="10"/>
        <v>3221</v>
      </c>
      <c r="R78" s="65">
        <f t="shared" si="8"/>
        <v>3164</v>
      </c>
      <c r="S78" s="65">
        <f t="shared" si="8"/>
        <v>3107</v>
      </c>
      <c r="T78" s="65">
        <f t="shared" si="8"/>
        <v>3050</v>
      </c>
      <c r="U78" s="65">
        <f t="shared" si="8"/>
        <v>2994</v>
      </c>
      <c r="V78" s="65">
        <f t="shared" si="8"/>
        <v>2937</v>
      </c>
      <c r="W78" s="65">
        <f t="shared" si="8"/>
        <v>2880</v>
      </c>
      <c r="X78" s="65">
        <f t="shared" si="8"/>
        <v>2823</v>
      </c>
      <c r="Y78" s="60">
        <f t="shared" si="9"/>
        <v>2766</v>
      </c>
      <c r="Z78" s="52" t="s">
        <v>295</v>
      </c>
    </row>
    <row r="79" spans="1:26" x14ac:dyDescent="0.35">
      <c r="A79" s="60" t="str">
        <f>VLOOKUP(B79,IKP!$Q$6:$R$124,2,FALSE)</f>
        <v>Kurzemes statistiskais reģions</v>
      </c>
      <c r="B79" s="59" t="s">
        <v>75</v>
      </c>
      <c r="C79" s="65"/>
      <c r="D79" s="65">
        <v>3527</v>
      </c>
      <c r="E79" s="65">
        <v>3482</v>
      </c>
      <c r="F79" s="65">
        <v>3419</v>
      </c>
      <c r="G79" s="65">
        <v>3316</v>
      </c>
      <c r="H79" s="65">
        <v>3278</v>
      </c>
      <c r="I79" s="65">
        <v>3209</v>
      </c>
      <c r="J79" s="65">
        <v>3152</v>
      </c>
      <c r="K79" s="65">
        <v>3112</v>
      </c>
      <c r="L79" s="65">
        <v>3113</v>
      </c>
      <c r="M79" s="67">
        <v>2616</v>
      </c>
      <c r="P79" s="65">
        <f t="shared" si="7"/>
        <v>3113</v>
      </c>
      <c r="Q79" s="65">
        <f t="shared" si="10"/>
        <v>3058</v>
      </c>
      <c r="R79" s="65">
        <f t="shared" si="8"/>
        <v>3003</v>
      </c>
      <c r="S79" s="65">
        <f t="shared" si="8"/>
        <v>2947</v>
      </c>
      <c r="T79" s="65">
        <f t="shared" si="8"/>
        <v>2892</v>
      </c>
      <c r="U79" s="65">
        <f t="shared" si="8"/>
        <v>2837</v>
      </c>
      <c r="V79" s="65">
        <f t="shared" si="8"/>
        <v>2782</v>
      </c>
      <c r="W79" s="65">
        <f t="shared" si="8"/>
        <v>2726</v>
      </c>
      <c r="X79" s="65">
        <f t="shared" si="8"/>
        <v>2671</v>
      </c>
      <c r="Y79" s="60">
        <f t="shared" si="9"/>
        <v>2616</v>
      </c>
      <c r="Z79" s="52" t="s">
        <v>293</v>
      </c>
    </row>
    <row r="80" spans="1:26" x14ac:dyDescent="0.35">
      <c r="A80" s="60" t="str">
        <f>VLOOKUP(B80,IKP!$Q$6:$R$124,2,FALSE)</f>
        <v>Pierīgas statistiskais reģions</v>
      </c>
      <c r="B80" s="59" t="s">
        <v>76</v>
      </c>
      <c r="C80" s="65"/>
      <c r="D80" s="65">
        <v>35531</v>
      </c>
      <c r="E80" s="65">
        <v>34897</v>
      </c>
      <c r="F80" s="65">
        <v>34580</v>
      </c>
      <c r="G80" s="65">
        <v>33980</v>
      </c>
      <c r="H80" s="65">
        <v>33448</v>
      </c>
      <c r="I80" s="65">
        <v>33083</v>
      </c>
      <c r="J80" s="65">
        <v>32997</v>
      </c>
      <c r="K80" s="65">
        <v>32927</v>
      </c>
      <c r="L80" s="65">
        <v>32790</v>
      </c>
      <c r="M80" s="67">
        <v>28423</v>
      </c>
      <c r="P80" s="65">
        <f t="shared" si="7"/>
        <v>32790</v>
      </c>
      <c r="Q80" s="65">
        <f t="shared" si="10"/>
        <v>32305</v>
      </c>
      <c r="R80" s="65">
        <f t="shared" si="8"/>
        <v>31820</v>
      </c>
      <c r="S80" s="65">
        <f t="shared" si="8"/>
        <v>31334</v>
      </c>
      <c r="T80" s="65">
        <f t="shared" si="8"/>
        <v>30849</v>
      </c>
      <c r="U80" s="65">
        <f t="shared" si="8"/>
        <v>30364</v>
      </c>
      <c r="V80" s="65">
        <f t="shared" si="8"/>
        <v>29879</v>
      </c>
      <c r="W80" s="65">
        <f t="shared" si="8"/>
        <v>29393</v>
      </c>
      <c r="X80" s="65">
        <f t="shared" si="8"/>
        <v>28908</v>
      </c>
      <c r="Y80" s="60">
        <f t="shared" si="9"/>
        <v>28423</v>
      </c>
      <c r="Z80" s="52" t="s">
        <v>292</v>
      </c>
    </row>
    <row r="81" spans="1:26" x14ac:dyDescent="0.35">
      <c r="A81" s="60" t="str">
        <f>VLOOKUP(B81,IKP!$Q$6:$R$124,2,FALSE)</f>
        <v>Pierīgas statistiskais reģions</v>
      </c>
      <c r="B81" s="59" t="s">
        <v>77</v>
      </c>
      <c r="C81" s="65"/>
      <c r="D81" s="65">
        <v>19849</v>
      </c>
      <c r="E81" s="65">
        <v>19720</v>
      </c>
      <c r="F81" s="65">
        <v>19718</v>
      </c>
      <c r="G81" s="65">
        <v>19685</v>
      </c>
      <c r="H81" s="65">
        <v>19487</v>
      </c>
      <c r="I81" s="65">
        <v>19409</v>
      </c>
      <c r="J81" s="65">
        <v>19499</v>
      </c>
      <c r="K81" s="65">
        <v>19511</v>
      </c>
      <c r="L81" s="65">
        <v>19705</v>
      </c>
      <c r="M81" s="67">
        <v>17804</v>
      </c>
      <c r="P81" s="65">
        <f t="shared" si="7"/>
        <v>19705</v>
      </c>
      <c r="Q81" s="65">
        <f t="shared" si="10"/>
        <v>19494</v>
      </c>
      <c r="R81" s="65">
        <f t="shared" si="8"/>
        <v>19283</v>
      </c>
      <c r="S81" s="65">
        <f t="shared" si="8"/>
        <v>19071</v>
      </c>
      <c r="T81" s="65">
        <f t="shared" si="8"/>
        <v>18860</v>
      </c>
      <c r="U81" s="65">
        <f t="shared" si="8"/>
        <v>18649</v>
      </c>
      <c r="V81" s="65">
        <f t="shared" si="8"/>
        <v>18438</v>
      </c>
      <c r="W81" s="65">
        <f t="shared" si="8"/>
        <v>18226</v>
      </c>
      <c r="X81" s="65">
        <f t="shared" si="8"/>
        <v>18015</v>
      </c>
      <c r="Y81" s="60">
        <f t="shared" si="9"/>
        <v>17804</v>
      </c>
      <c r="Z81" s="52" t="s">
        <v>292</v>
      </c>
    </row>
    <row r="82" spans="1:26" x14ac:dyDescent="0.35">
      <c r="A82" s="60" t="str">
        <f>VLOOKUP(B82,IKP!$Q$6:$R$124,2,FALSE)</f>
        <v>Zemgales statistiskais reģions</v>
      </c>
      <c r="B82" s="59" t="s">
        <v>78</v>
      </c>
      <c r="C82" s="65"/>
      <c r="D82" s="65">
        <v>9840</v>
      </c>
      <c r="E82" s="65">
        <v>9661</v>
      </c>
      <c r="F82" s="65">
        <v>9634</v>
      </c>
      <c r="G82" s="65">
        <v>9676</v>
      </c>
      <c r="H82" s="65">
        <v>9609</v>
      </c>
      <c r="I82" s="65">
        <v>9864</v>
      </c>
      <c r="J82" s="65">
        <v>9969</v>
      </c>
      <c r="K82" s="65">
        <v>10031</v>
      </c>
      <c r="L82" s="65">
        <v>9948</v>
      </c>
      <c r="M82" s="67">
        <v>10150</v>
      </c>
      <c r="P82" s="65">
        <f t="shared" si="7"/>
        <v>9948</v>
      </c>
      <c r="Q82" s="65">
        <f t="shared" si="10"/>
        <v>9970</v>
      </c>
      <c r="R82" s="65">
        <f t="shared" si="8"/>
        <v>9993</v>
      </c>
      <c r="S82" s="65">
        <f t="shared" si="8"/>
        <v>10015</v>
      </c>
      <c r="T82" s="65">
        <f t="shared" si="8"/>
        <v>10038</v>
      </c>
      <c r="U82" s="65">
        <f t="shared" si="8"/>
        <v>10060</v>
      </c>
      <c r="V82" s="65">
        <f t="shared" si="8"/>
        <v>10083</v>
      </c>
      <c r="W82" s="65">
        <f t="shared" si="8"/>
        <v>10105</v>
      </c>
      <c r="X82" s="65">
        <f t="shared" si="8"/>
        <v>10128</v>
      </c>
      <c r="Y82" s="60">
        <f t="shared" si="9"/>
        <v>10150</v>
      </c>
      <c r="Z82" s="52" t="s">
        <v>295</v>
      </c>
    </row>
    <row r="83" spans="1:26" x14ac:dyDescent="0.35">
      <c r="A83" s="60" t="str">
        <f>VLOOKUP(B83,IKP!$Q$6:$R$124,2,FALSE)</f>
        <v>Vidzemes statistiskais reģions</v>
      </c>
      <c r="B83" s="59" t="s">
        <v>79</v>
      </c>
      <c r="C83" s="65"/>
      <c r="D83" s="65">
        <v>3950</v>
      </c>
      <c r="E83" s="65">
        <v>3938</v>
      </c>
      <c r="F83" s="65">
        <v>3897</v>
      </c>
      <c r="G83" s="65">
        <v>3815</v>
      </c>
      <c r="H83" s="65">
        <v>3728</v>
      </c>
      <c r="I83" s="65">
        <v>3666</v>
      </c>
      <c r="J83" s="65">
        <v>3623</v>
      </c>
      <c r="K83" s="65">
        <v>3638</v>
      </c>
      <c r="L83" s="65">
        <v>3603</v>
      </c>
      <c r="M83" s="67">
        <v>3038</v>
      </c>
      <c r="P83" s="65">
        <f t="shared" si="7"/>
        <v>3603</v>
      </c>
      <c r="Q83" s="65">
        <f t="shared" si="10"/>
        <v>3540</v>
      </c>
      <c r="R83" s="65">
        <f t="shared" si="8"/>
        <v>3477</v>
      </c>
      <c r="S83" s="65">
        <f t="shared" si="8"/>
        <v>3415</v>
      </c>
      <c r="T83" s="65">
        <f t="shared" si="8"/>
        <v>3352</v>
      </c>
      <c r="U83" s="65">
        <f t="shared" si="8"/>
        <v>3289</v>
      </c>
      <c r="V83" s="65">
        <f t="shared" si="8"/>
        <v>3226</v>
      </c>
      <c r="W83" s="65">
        <f t="shared" si="8"/>
        <v>3164</v>
      </c>
      <c r="X83" s="65">
        <f t="shared" si="8"/>
        <v>3101</v>
      </c>
      <c r="Y83" s="60">
        <f t="shared" si="9"/>
        <v>3038</v>
      </c>
      <c r="Z83" s="52" t="s">
        <v>294</v>
      </c>
    </row>
    <row r="84" spans="1:26" x14ac:dyDescent="0.35">
      <c r="A84" s="60" t="str">
        <f>VLOOKUP(B84,IKP!$Q$6:$R$124,2,FALSE)</f>
        <v>Kurzemes statistiskais reģions</v>
      </c>
      <c r="B84" s="59" t="s">
        <v>80</v>
      </c>
      <c r="C84" s="65"/>
      <c r="D84" s="65">
        <v>2819</v>
      </c>
      <c r="E84" s="65">
        <v>2742</v>
      </c>
      <c r="F84" s="65">
        <v>2701</v>
      </c>
      <c r="G84" s="65">
        <v>2658</v>
      </c>
      <c r="H84" s="65">
        <v>2616</v>
      </c>
      <c r="I84" s="65">
        <v>2575</v>
      </c>
      <c r="J84" s="65">
        <v>2532</v>
      </c>
      <c r="K84" s="65">
        <v>2597</v>
      </c>
      <c r="L84" s="65">
        <v>2543</v>
      </c>
      <c r="M84" s="67">
        <v>2137</v>
      </c>
      <c r="P84" s="65">
        <f t="shared" si="7"/>
        <v>2543</v>
      </c>
      <c r="Q84" s="65">
        <f t="shared" si="10"/>
        <v>2498</v>
      </c>
      <c r="R84" s="65">
        <f t="shared" si="8"/>
        <v>2453</v>
      </c>
      <c r="S84" s="65">
        <f t="shared" si="8"/>
        <v>2408</v>
      </c>
      <c r="T84" s="65">
        <f t="shared" si="8"/>
        <v>2363</v>
      </c>
      <c r="U84" s="65">
        <f t="shared" si="8"/>
        <v>2317</v>
      </c>
      <c r="V84" s="65">
        <f t="shared" si="8"/>
        <v>2272</v>
      </c>
      <c r="W84" s="65">
        <f t="shared" si="8"/>
        <v>2227</v>
      </c>
      <c r="X84" s="65">
        <f t="shared" si="8"/>
        <v>2182</v>
      </c>
      <c r="Y84" s="60">
        <f t="shared" si="9"/>
        <v>2137</v>
      </c>
      <c r="Z84" s="52" t="s">
        <v>293</v>
      </c>
    </row>
    <row r="85" spans="1:26" x14ac:dyDescent="0.35">
      <c r="A85" s="60" t="str">
        <f>VLOOKUP(B85,IKP!$Q$6:$R$124,2,FALSE)</f>
        <v>Zemgales statistiskais reģions</v>
      </c>
      <c r="B85" s="59" t="s">
        <v>81</v>
      </c>
      <c r="C85" s="65"/>
      <c r="D85" s="65">
        <v>5560</v>
      </c>
      <c r="E85" s="65">
        <v>5462</v>
      </c>
      <c r="F85" s="65">
        <v>5343</v>
      </c>
      <c r="G85" s="65">
        <v>5286</v>
      </c>
      <c r="H85" s="65">
        <v>5165</v>
      </c>
      <c r="I85" s="65">
        <v>5031</v>
      </c>
      <c r="J85" s="65">
        <v>4904</v>
      </c>
      <c r="K85" s="65">
        <v>4818</v>
      </c>
      <c r="L85" s="65">
        <v>4765</v>
      </c>
      <c r="M85" s="67">
        <v>3972</v>
      </c>
      <c r="P85" s="65">
        <f t="shared" si="7"/>
        <v>4765</v>
      </c>
      <c r="Q85" s="65">
        <f t="shared" si="10"/>
        <v>4677</v>
      </c>
      <c r="R85" s="65">
        <f t="shared" si="8"/>
        <v>4589</v>
      </c>
      <c r="S85" s="65">
        <f t="shared" si="8"/>
        <v>4501</v>
      </c>
      <c r="T85" s="65">
        <f t="shared" si="8"/>
        <v>4413</v>
      </c>
      <c r="U85" s="65">
        <f t="shared" si="8"/>
        <v>4324</v>
      </c>
      <c r="V85" s="65">
        <f t="shared" si="8"/>
        <v>4236</v>
      </c>
      <c r="W85" s="65">
        <f t="shared" si="8"/>
        <v>4148</v>
      </c>
      <c r="X85" s="65">
        <f t="shared" si="8"/>
        <v>4060</v>
      </c>
      <c r="Y85" s="60">
        <f t="shared" si="9"/>
        <v>3972</v>
      </c>
      <c r="Z85" s="52" t="s">
        <v>295</v>
      </c>
    </row>
    <row r="86" spans="1:26" x14ac:dyDescent="0.35">
      <c r="A86" s="60" t="str">
        <f>VLOOKUP(B86,IKP!$Q$6:$R$124,2,FALSE)</f>
        <v>Latgales statistiskais reģions</v>
      </c>
      <c r="B86" s="59" t="s">
        <v>82</v>
      </c>
      <c r="C86" s="65"/>
      <c r="D86" s="65">
        <v>10317</v>
      </c>
      <c r="E86" s="65">
        <v>10083</v>
      </c>
      <c r="F86" s="65">
        <v>9941</v>
      </c>
      <c r="G86" s="65">
        <v>9768</v>
      </c>
      <c r="H86" s="65">
        <v>9561</v>
      </c>
      <c r="I86" s="65">
        <v>9382</v>
      </c>
      <c r="J86" s="65">
        <v>9231</v>
      </c>
      <c r="K86" s="65">
        <v>9045</v>
      </c>
      <c r="L86" s="65">
        <v>8948</v>
      </c>
      <c r="M86" s="67">
        <v>7277</v>
      </c>
      <c r="P86" s="65">
        <f t="shared" si="7"/>
        <v>8948</v>
      </c>
      <c r="Q86" s="65">
        <f t="shared" si="10"/>
        <v>8762</v>
      </c>
      <c r="R86" s="65">
        <f t="shared" si="8"/>
        <v>8577</v>
      </c>
      <c r="S86" s="65">
        <f t="shared" si="8"/>
        <v>8391</v>
      </c>
      <c r="T86" s="65">
        <f t="shared" si="8"/>
        <v>8205</v>
      </c>
      <c r="U86" s="65">
        <f t="shared" si="8"/>
        <v>8020</v>
      </c>
      <c r="V86" s="65">
        <f t="shared" si="8"/>
        <v>7834</v>
      </c>
      <c r="W86" s="65">
        <f t="shared" si="8"/>
        <v>7648</v>
      </c>
      <c r="X86" s="65">
        <f t="shared" si="8"/>
        <v>7463</v>
      </c>
      <c r="Y86" s="60">
        <f t="shared" si="9"/>
        <v>7277</v>
      </c>
      <c r="Z86" s="52" t="s">
        <v>296</v>
      </c>
    </row>
    <row r="87" spans="1:26" x14ac:dyDescent="0.35">
      <c r="A87" s="60" t="str">
        <f>VLOOKUP(B87,IKP!$Q$6:$R$124,2,FALSE)</f>
        <v>Kurzemes statistiskais reģions</v>
      </c>
      <c r="B87" s="59" t="s">
        <v>83</v>
      </c>
      <c r="C87" s="65"/>
      <c r="D87" s="65">
        <v>5747</v>
      </c>
      <c r="E87" s="65">
        <v>5663</v>
      </c>
      <c r="F87" s="65">
        <v>5555</v>
      </c>
      <c r="G87" s="65">
        <v>5399</v>
      </c>
      <c r="H87" s="65">
        <v>5336</v>
      </c>
      <c r="I87" s="65">
        <v>5203</v>
      </c>
      <c r="J87" s="65">
        <v>5067</v>
      </c>
      <c r="K87" s="65">
        <v>5066</v>
      </c>
      <c r="L87" s="65">
        <v>4955</v>
      </c>
      <c r="M87" s="67">
        <v>4170</v>
      </c>
      <c r="P87" s="65">
        <f t="shared" si="7"/>
        <v>4955</v>
      </c>
      <c r="Q87" s="65">
        <f t="shared" si="10"/>
        <v>4868</v>
      </c>
      <c r="R87" s="65">
        <f t="shared" si="8"/>
        <v>4781</v>
      </c>
      <c r="S87" s="65">
        <f t="shared" si="8"/>
        <v>4693</v>
      </c>
      <c r="T87" s="65">
        <f t="shared" si="8"/>
        <v>4606</v>
      </c>
      <c r="U87" s="65">
        <f t="shared" si="8"/>
        <v>4519</v>
      </c>
      <c r="V87" s="65">
        <f t="shared" si="8"/>
        <v>4432</v>
      </c>
      <c r="W87" s="65">
        <f t="shared" si="8"/>
        <v>4344</v>
      </c>
      <c r="X87" s="65">
        <f t="shared" si="8"/>
        <v>4257</v>
      </c>
      <c r="Y87" s="60">
        <f t="shared" si="9"/>
        <v>4170</v>
      </c>
      <c r="Z87" s="52" t="s">
        <v>293</v>
      </c>
    </row>
    <row r="88" spans="1:26" x14ac:dyDescent="0.35">
      <c r="A88" s="60" t="str">
        <f>VLOOKUP(B88,IKP!$Q$6:$R$124,2,FALSE)</f>
        <v>Vidzemes statistiskais reģions</v>
      </c>
      <c r="B88" s="59" t="s">
        <v>84</v>
      </c>
      <c r="C88" s="65"/>
      <c r="D88" s="65">
        <v>8232</v>
      </c>
      <c r="E88" s="65">
        <v>8050</v>
      </c>
      <c r="F88" s="65">
        <v>7951</v>
      </c>
      <c r="G88" s="65">
        <v>7940</v>
      </c>
      <c r="H88" s="65">
        <v>7870</v>
      </c>
      <c r="I88" s="65">
        <v>7719</v>
      </c>
      <c r="J88" s="65">
        <v>7607</v>
      </c>
      <c r="K88" s="65">
        <v>7602</v>
      </c>
      <c r="L88" s="65">
        <v>7509</v>
      </c>
      <c r="M88" s="67">
        <v>6320</v>
      </c>
      <c r="P88" s="65">
        <f t="shared" si="7"/>
        <v>7509</v>
      </c>
      <c r="Q88" s="65">
        <f t="shared" si="10"/>
        <v>7377</v>
      </c>
      <c r="R88" s="65">
        <f t="shared" si="8"/>
        <v>7245</v>
      </c>
      <c r="S88" s="65">
        <f t="shared" si="8"/>
        <v>7113</v>
      </c>
      <c r="T88" s="65">
        <f t="shared" si="8"/>
        <v>6981</v>
      </c>
      <c r="U88" s="65">
        <f t="shared" si="8"/>
        <v>6848</v>
      </c>
      <c r="V88" s="65">
        <f t="shared" si="8"/>
        <v>6716</v>
      </c>
      <c r="W88" s="65">
        <f t="shared" si="8"/>
        <v>6584</v>
      </c>
      <c r="X88" s="65">
        <f t="shared" si="8"/>
        <v>6452</v>
      </c>
      <c r="Y88" s="60">
        <f t="shared" si="9"/>
        <v>6320</v>
      </c>
      <c r="Z88" s="52" t="s">
        <v>294</v>
      </c>
    </row>
    <row r="89" spans="1:26" x14ac:dyDescent="0.35">
      <c r="A89" s="60" t="str">
        <f>VLOOKUP(B89,IKP!$Q$6:$R$124,2,FALSE)</f>
        <v>Vidzemes statistiskais reģions</v>
      </c>
      <c r="B89" s="59" t="s">
        <v>85</v>
      </c>
      <c r="C89" s="65"/>
      <c r="D89" s="65">
        <v>3490</v>
      </c>
      <c r="E89" s="65">
        <v>3412</v>
      </c>
      <c r="F89" s="65">
        <v>3349</v>
      </c>
      <c r="G89" s="65">
        <v>3207</v>
      </c>
      <c r="H89" s="65">
        <v>3125</v>
      </c>
      <c r="I89" s="65">
        <v>3096</v>
      </c>
      <c r="J89" s="65">
        <v>3023</v>
      </c>
      <c r="K89" s="65">
        <v>3038</v>
      </c>
      <c r="L89" s="65">
        <v>3005</v>
      </c>
      <c r="M89" s="67">
        <v>2228</v>
      </c>
      <c r="P89" s="65">
        <f t="shared" si="7"/>
        <v>3005</v>
      </c>
      <c r="Q89" s="65">
        <f t="shared" si="10"/>
        <v>2919</v>
      </c>
      <c r="R89" s="65">
        <f t="shared" si="8"/>
        <v>2832</v>
      </c>
      <c r="S89" s="65">
        <f t="shared" si="8"/>
        <v>2746</v>
      </c>
      <c r="T89" s="65">
        <f t="shared" si="8"/>
        <v>2660</v>
      </c>
      <c r="U89" s="65">
        <f t="shared" si="8"/>
        <v>2573</v>
      </c>
      <c r="V89" s="65">
        <f t="shared" si="8"/>
        <v>2487</v>
      </c>
      <c r="W89" s="65">
        <f t="shared" si="8"/>
        <v>2401</v>
      </c>
      <c r="X89" s="65">
        <f t="shared" si="8"/>
        <v>2314</v>
      </c>
      <c r="Y89" s="60">
        <f t="shared" si="9"/>
        <v>2228</v>
      </c>
      <c r="Z89" s="52" t="s">
        <v>294</v>
      </c>
    </row>
    <row r="90" spans="1:26" x14ac:dyDescent="0.35">
      <c r="A90" s="60" t="str">
        <f>VLOOKUP(B90,IKP!$Q$6:$R$124,2,FALSE)</f>
        <v>Latgales statistiskais reģions</v>
      </c>
      <c r="B90" s="59" t="s">
        <v>86</v>
      </c>
      <c r="C90" s="65"/>
      <c r="D90" s="65">
        <v>27913</v>
      </c>
      <c r="E90" s="65">
        <v>27395</v>
      </c>
      <c r="F90" s="65">
        <v>27162</v>
      </c>
      <c r="G90" s="65">
        <v>26696</v>
      </c>
      <c r="H90" s="65">
        <v>25937</v>
      </c>
      <c r="I90" s="65">
        <v>25274</v>
      </c>
      <c r="J90" s="65">
        <v>24687</v>
      </c>
      <c r="K90" s="65">
        <v>24715</v>
      </c>
      <c r="L90" s="65">
        <v>24244</v>
      </c>
      <c r="M90" s="67">
        <v>20457</v>
      </c>
      <c r="P90" s="65">
        <f t="shared" si="7"/>
        <v>24244</v>
      </c>
      <c r="Q90" s="65">
        <f t="shared" si="10"/>
        <v>23823</v>
      </c>
      <c r="R90" s="65">
        <f t="shared" si="8"/>
        <v>23402</v>
      </c>
      <c r="S90" s="65">
        <f t="shared" si="8"/>
        <v>22982</v>
      </c>
      <c r="T90" s="65">
        <f t="shared" si="8"/>
        <v>22561</v>
      </c>
      <c r="U90" s="65">
        <f t="shared" si="8"/>
        <v>22140</v>
      </c>
      <c r="V90" s="65">
        <f t="shared" si="8"/>
        <v>21719</v>
      </c>
      <c r="W90" s="65">
        <f t="shared" si="8"/>
        <v>21299</v>
      </c>
      <c r="X90" s="65">
        <f t="shared" si="8"/>
        <v>20878</v>
      </c>
      <c r="Y90" s="60">
        <f t="shared" si="9"/>
        <v>20457</v>
      </c>
      <c r="Z90" s="52" t="s">
        <v>296</v>
      </c>
    </row>
    <row r="91" spans="1:26" x14ac:dyDescent="0.35">
      <c r="A91" s="60" t="str">
        <f>VLOOKUP(B91,IKP!$Q$6:$R$124,2,FALSE)</f>
        <v>Latgales statistiskais reģions</v>
      </c>
      <c r="B91" s="59" t="s">
        <v>87</v>
      </c>
      <c r="C91" s="65"/>
      <c r="D91" s="65">
        <v>5383</v>
      </c>
      <c r="E91" s="65">
        <v>5270</v>
      </c>
      <c r="F91" s="65">
        <v>5180</v>
      </c>
      <c r="G91" s="65">
        <v>5077</v>
      </c>
      <c r="H91" s="65">
        <v>4911</v>
      </c>
      <c r="I91" s="65">
        <v>4779</v>
      </c>
      <c r="J91" s="65">
        <v>4625</v>
      </c>
      <c r="K91" s="65">
        <v>4614</v>
      </c>
      <c r="L91" s="65">
        <v>4466</v>
      </c>
      <c r="M91" s="67">
        <v>3606</v>
      </c>
      <c r="P91" s="65">
        <f t="shared" si="7"/>
        <v>4466</v>
      </c>
      <c r="Q91" s="65">
        <f t="shared" si="10"/>
        <v>4370</v>
      </c>
      <c r="R91" s="65">
        <f t="shared" si="8"/>
        <v>4275</v>
      </c>
      <c r="S91" s="65">
        <f t="shared" si="8"/>
        <v>4179</v>
      </c>
      <c r="T91" s="65">
        <f t="shared" si="8"/>
        <v>4084</v>
      </c>
      <c r="U91" s="65">
        <f t="shared" si="8"/>
        <v>3988</v>
      </c>
      <c r="V91" s="65">
        <f t="shared" si="8"/>
        <v>3893</v>
      </c>
      <c r="W91" s="65">
        <f t="shared" si="8"/>
        <v>3797</v>
      </c>
      <c r="X91" s="65">
        <f t="shared" si="8"/>
        <v>3702</v>
      </c>
      <c r="Y91" s="60">
        <f t="shared" si="9"/>
        <v>3606</v>
      </c>
      <c r="Z91" s="52" t="s">
        <v>296</v>
      </c>
    </row>
    <row r="92" spans="1:26" x14ac:dyDescent="0.35">
      <c r="A92" s="60" t="str">
        <f>VLOOKUP(B92,IKP!$Q$6:$R$124,2,FALSE)</f>
        <v>Kurzemes statistiskais reģions</v>
      </c>
      <c r="B92" s="59" t="s">
        <v>88</v>
      </c>
      <c r="C92" s="65"/>
      <c r="D92" s="65">
        <v>3933</v>
      </c>
      <c r="E92" s="65">
        <v>3851</v>
      </c>
      <c r="F92" s="65">
        <v>3799</v>
      </c>
      <c r="G92" s="65">
        <v>3750</v>
      </c>
      <c r="H92" s="65">
        <v>3638</v>
      </c>
      <c r="I92" s="65">
        <v>3527</v>
      </c>
      <c r="J92" s="65">
        <v>3427</v>
      </c>
      <c r="K92" s="65">
        <v>3436</v>
      </c>
      <c r="L92" s="65">
        <v>3390</v>
      </c>
      <c r="M92" s="67">
        <v>2831</v>
      </c>
      <c r="P92" s="65">
        <f t="shared" si="7"/>
        <v>3390</v>
      </c>
      <c r="Q92" s="65">
        <f t="shared" si="10"/>
        <v>3328</v>
      </c>
      <c r="R92" s="65">
        <f t="shared" si="8"/>
        <v>3266</v>
      </c>
      <c r="S92" s="65">
        <f t="shared" si="8"/>
        <v>3204</v>
      </c>
      <c r="T92" s="65">
        <f t="shared" si="8"/>
        <v>3142</v>
      </c>
      <c r="U92" s="65">
        <f t="shared" si="8"/>
        <v>3079</v>
      </c>
      <c r="V92" s="65">
        <f t="shared" si="8"/>
        <v>3017</v>
      </c>
      <c r="W92" s="65">
        <f t="shared" si="8"/>
        <v>2955</v>
      </c>
      <c r="X92" s="65">
        <f t="shared" si="8"/>
        <v>2893</v>
      </c>
      <c r="Y92" s="60">
        <f t="shared" si="9"/>
        <v>2831</v>
      </c>
      <c r="Z92" s="52" t="s">
        <v>293</v>
      </c>
    </row>
    <row r="93" spans="1:26" x14ac:dyDescent="0.35">
      <c r="A93" s="60" t="str">
        <f>VLOOKUP(B93,IKP!$Q$6:$R$124,2,FALSE)</f>
        <v>Pierīgas statistiskais reģions</v>
      </c>
      <c r="B93" s="59" t="s">
        <v>89</v>
      </c>
      <c r="C93" s="65"/>
      <c r="D93" s="65">
        <v>6858</v>
      </c>
      <c r="E93" s="65">
        <v>6748</v>
      </c>
      <c r="F93" s="65">
        <v>6700</v>
      </c>
      <c r="G93" s="65">
        <v>6631</v>
      </c>
      <c r="H93" s="65">
        <v>6641</v>
      </c>
      <c r="I93" s="65">
        <v>6800</v>
      </c>
      <c r="J93" s="65">
        <v>6834</v>
      </c>
      <c r="K93" s="65">
        <v>6803</v>
      </c>
      <c r="L93" s="65">
        <v>6836</v>
      </c>
      <c r="M93" s="67">
        <v>6924</v>
      </c>
      <c r="P93" s="65">
        <f t="shared" si="7"/>
        <v>6836</v>
      </c>
      <c r="Q93" s="65">
        <f t="shared" si="10"/>
        <v>6846</v>
      </c>
      <c r="R93" s="65">
        <f t="shared" si="8"/>
        <v>6856</v>
      </c>
      <c r="S93" s="65">
        <f t="shared" si="8"/>
        <v>6865</v>
      </c>
      <c r="T93" s="65">
        <f t="shared" si="8"/>
        <v>6875</v>
      </c>
      <c r="U93" s="65">
        <f t="shared" si="8"/>
        <v>6885</v>
      </c>
      <c r="V93" s="65">
        <f t="shared" si="8"/>
        <v>6895</v>
      </c>
      <c r="W93" s="65">
        <f t="shared" si="8"/>
        <v>6904</v>
      </c>
      <c r="X93" s="65">
        <f t="shared" si="8"/>
        <v>6914</v>
      </c>
      <c r="Y93" s="60">
        <f t="shared" si="9"/>
        <v>6924</v>
      </c>
      <c r="Z93" s="52" t="s">
        <v>292</v>
      </c>
    </row>
    <row r="94" spans="1:26" x14ac:dyDescent="0.35">
      <c r="A94" s="60" t="str">
        <f>VLOOKUP(B94,IKP!$Q$6:$R$124,2,FALSE)</f>
        <v>Kurzemes statistiskais reģions</v>
      </c>
      <c r="B94" s="59" t="s">
        <v>90</v>
      </c>
      <c r="C94" s="65"/>
      <c r="D94" s="65">
        <v>1728</v>
      </c>
      <c r="E94" s="65">
        <v>1711</v>
      </c>
      <c r="F94" s="65">
        <v>1681</v>
      </c>
      <c r="G94" s="65">
        <v>1650</v>
      </c>
      <c r="H94" s="65">
        <v>1626</v>
      </c>
      <c r="I94" s="65">
        <v>1538</v>
      </c>
      <c r="J94" s="65">
        <v>1478</v>
      </c>
      <c r="K94" s="65">
        <v>1503</v>
      </c>
      <c r="L94" s="65">
        <v>1505</v>
      </c>
      <c r="M94" s="67">
        <v>1127</v>
      </c>
      <c r="P94" s="65">
        <f t="shared" si="7"/>
        <v>1505</v>
      </c>
      <c r="Q94" s="65">
        <f t="shared" si="10"/>
        <v>1463</v>
      </c>
      <c r="R94" s="65">
        <f t="shared" si="8"/>
        <v>1421</v>
      </c>
      <c r="S94" s="65">
        <f t="shared" si="8"/>
        <v>1379</v>
      </c>
      <c r="T94" s="65">
        <f t="shared" si="8"/>
        <v>1337</v>
      </c>
      <c r="U94" s="65">
        <f t="shared" si="8"/>
        <v>1295</v>
      </c>
      <c r="V94" s="65">
        <f t="shared" si="8"/>
        <v>1253</v>
      </c>
      <c r="W94" s="65">
        <f t="shared" si="8"/>
        <v>1211</v>
      </c>
      <c r="X94" s="65">
        <f t="shared" si="8"/>
        <v>1169</v>
      </c>
      <c r="Y94" s="60">
        <f t="shared" si="9"/>
        <v>1127</v>
      </c>
      <c r="Z94" s="52" t="s">
        <v>293</v>
      </c>
    </row>
    <row r="95" spans="1:26" x14ac:dyDescent="0.35">
      <c r="A95" s="60" t="str">
        <f>VLOOKUP(B95,IKP!$Q$6:$R$124,2,FALSE)</f>
        <v>Latgales statistiskais reģions</v>
      </c>
      <c r="B95" s="59" t="s">
        <v>91</v>
      </c>
      <c r="C95" s="65"/>
      <c r="D95" s="65">
        <v>2365</v>
      </c>
      <c r="E95" s="65">
        <v>2311</v>
      </c>
      <c r="F95" s="65">
        <v>2266</v>
      </c>
      <c r="G95" s="65">
        <v>2293</v>
      </c>
      <c r="H95" s="65">
        <v>2212</v>
      </c>
      <c r="I95" s="65">
        <v>2160</v>
      </c>
      <c r="J95" s="65">
        <v>2108</v>
      </c>
      <c r="K95" s="65">
        <v>2088</v>
      </c>
      <c r="L95" s="65">
        <v>2026</v>
      </c>
      <c r="M95" s="67">
        <v>1818</v>
      </c>
      <c r="P95" s="65">
        <f t="shared" si="7"/>
        <v>2026</v>
      </c>
      <c r="Q95" s="65">
        <f t="shared" si="10"/>
        <v>2003</v>
      </c>
      <c r="R95" s="65">
        <f t="shared" si="8"/>
        <v>1980</v>
      </c>
      <c r="S95" s="65">
        <f t="shared" si="8"/>
        <v>1957</v>
      </c>
      <c r="T95" s="65">
        <f t="shared" si="8"/>
        <v>1934</v>
      </c>
      <c r="U95" s="65">
        <f t="shared" si="8"/>
        <v>1910</v>
      </c>
      <c r="V95" s="65">
        <f t="shared" si="8"/>
        <v>1887</v>
      </c>
      <c r="W95" s="65">
        <f t="shared" si="8"/>
        <v>1864</v>
      </c>
      <c r="X95" s="65">
        <f t="shared" si="8"/>
        <v>1841</v>
      </c>
      <c r="Y95" s="60">
        <f t="shared" si="9"/>
        <v>1818</v>
      </c>
      <c r="Z95" s="52" t="s">
        <v>296</v>
      </c>
    </row>
    <row r="96" spans="1:26" x14ac:dyDescent="0.35">
      <c r="A96" s="60" t="str">
        <f>VLOOKUP(B96,IKP!$Q$6:$R$124,2,FALSE)</f>
        <v>Zemgales statistiskais reģions</v>
      </c>
      <c r="B96" s="59" t="s">
        <v>92</v>
      </c>
      <c r="C96" s="65"/>
      <c r="D96" s="65">
        <v>3671</v>
      </c>
      <c r="E96" s="65">
        <v>3617</v>
      </c>
      <c r="F96" s="65">
        <v>3531</v>
      </c>
      <c r="G96" s="65">
        <v>3473</v>
      </c>
      <c r="H96" s="65">
        <v>3421</v>
      </c>
      <c r="I96" s="65">
        <v>3407</v>
      </c>
      <c r="J96" s="65">
        <v>3356</v>
      </c>
      <c r="K96" s="65">
        <v>3367</v>
      </c>
      <c r="L96" s="65">
        <v>3290</v>
      </c>
      <c r="M96" s="67">
        <v>2917</v>
      </c>
      <c r="P96" s="65">
        <f t="shared" si="7"/>
        <v>3290</v>
      </c>
      <c r="Q96" s="65">
        <f t="shared" si="10"/>
        <v>3249</v>
      </c>
      <c r="R96" s="65">
        <f t="shared" si="8"/>
        <v>3207</v>
      </c>
      <c r="S96" s="65">
        <f t="shared" si="8"/>
        <v>3166</v>
      </c>
      <c r="T96" s="65">
        <f t="shared" si="8"/>
        <v>3124</v>
      </c>
      <c r="U96" s="65">
        <f t="shared" si="8"/>
        <v>3083</v>
      </c>
      <c r="V96" s="65">
        <f t="shared" si="8"/>
        <v>3041</v>
      </c>
      <c r="W96" s="65">
        <f t="shared" si="8"/>
        <v>3000</v>
      </c>
      <c r="X96" s="65">
        <f t="shared" si="8"/>
        <v>2958</v>
      </c>
      <c r="Y96" s="60">
        <f t="shared" si="9"/>
        <v>2917</v>
      </c>
      <c r="Z96" s="52" t="s">
        <v>295</v>
      </c>
    </row>
    <row r="97" spans="1:26" x14ac:dyDescent="0.35">
      <c r="A97" s="60" t="str">
        <f>VLOOKUP(B97,IKP!$Q$6:$R$124,2,FALSE)</f>
        <v>Vidzemes statistiskais reģions</v>
      </c>
      <c r="B97" s="59" t="s">
        <v>93</v>
      </c>
      <c r="C97" s="65"/>
      <c r="D97" s="65">
        <v>5452</v>
      </c>
      <c r="E97" s="65">
        <v>5321</v>
      </c>
      <c r="F97" s="65">
        <v>5219</v>
      </c>
      <c r="G97" s="65">
        <v>5156</v>
      </c>
      <c r="H97" s="65">
        <v>5056</v>
      </c>
      <c r="I97" s="65">
        <v>4992</v>
      </c>
      <c r="J97" s="65">
        <v>4917</v>
      </c>
      <c r="K97" s="65">
        <v>4913</v>
      </c>
      <c r="L97" s="65">
        <v>4817</v>
      </c>
      <c r="M97" s="67">
        <v>3865</v>
      </c>
      <c r="P97" s="65">
        <f t="shared" si="7"/>
        <v>4817</v>
      </c>
      <c r="Q97" s="65">
        <f t="shared" si="10"/>
        <v>4711</v>
      </c>
      <c r="R97" s="65">
        <f t="shared" si="8"/>
        <v>4605</v>
      </c>
      <c r="S97" s="65">
        <f t="shared" si="8"/>
        <v>4500</v>
      </c>
      <c r="T97" s="65">
        <f t="shared" si="8"/>
        <v>4394</v>
      </c>
      <c r="U97" s="65">
        <f t="shared" si="8"/>
        <v>4288</v>
      </c>
      <c r="V97" s="65">
        <f t="shared" si="8"/>
        <v>4182</v>
      </c>
      <c r="W97" s="65">
        <f t="shared" si="8"/>
        <v>4077</v>
      </c>
      <c r="X97" s="65">
        <f t="shared" si="8"/>
        <v>3971</v>
      </c>
      <c r="Y97" s="60">
        <f t="shared" si="9"/>
        <v>3865</v>
      </c>
      <c r="Z97" s="52" t="s">
        <v>294</v>
      </c>
    </row>
    <row r="98" spans="1:26" x14ac:dyDescent="0.35">
      <c r="A98" s="60" t="str">
        <f>VLOOKUP(B98,IKP!$Q$6:$R$124,2,FALSE)</f>
        <v>Pierīgas statistiskais reģions</v>
      </c>
      <c r="B98" s="59" t="s">
        <v>94</v>
      </c>
      <c r="C98" s="65"/>
      <c r="D98" s="65">
        <v>8182</v>
      </c>
      <c r="E98" s="65">
        <v>8027</v>
      </c>
      <c r="F98" s="65">
        <v>7959</v>
      </c>
      <c r="G98" s="65">
        <v>7825</v>
      </c>
      <c r="H98" s="65">
        <v>7574</v>
      </c>
      <c r="I98" s="65">
        <v>7423</v>
      </c>
      <c r="J98" s="65">
        <v>7228</v>
      </c>
      <c r="K98" s="65">
        <v>7317</v>
      </c>
      <c r="L98" s="65">
        <v>7282</v>
      </c>
      <c r="M98" s="67">
        <v>6066</v>
      </c>
      <c r="P98" s="65">
        <f t="shared" si="7"/>
        <v>7282</v>
      </c>
      <c r="Q98" s="65">
        <f t="shared" si="10"/>
        <v>7147</v>
      </c>
      <c r="R98" s="65">
        <f t="shared" si="8"/>
        <v>7012</v>
      </c>
      <c r="S98" s="65">
        <f t="shared" si="8"/>
        <v>6877</v>
      </c>
      <c r="T98" s="65">
        <f t="shared" si="8"/>
        <v>6742</v>
      </c>
      <c r="U98" s="65">
        <f t="shared" si="8"/>
        <v>6606</v>
      </c>
      <c r="V98" s="65">
        <f t="shared" si="8"/>
        <v>6471</v>
      </c>
      <c r="W98" s="65">
        <f t="shared" si="8"/>
        <v>6336</v>
      </c>
      <c r="X98" s="65">
        <f t="shared" si="8"/>
        <v>6201</v>
      </c>
      <c r="Y98" s="60">
        <f t="shared" si="9"/>
        <v>6066</v>
      </c>
      <c r="Z98" s="52" t="s">
        <v>292</v>
      </c>
    </row>
    <row r="99" spans="1:26" x14ac:dyDescent="0.35">
      <c r="A99" s="60" t="str">
        <f>VLOOKUP(B99,IKP!$Q$6:$R$124,2,FALSE)</f>
        <v>Zemgales statistiskais reģions</v>
      </c>
      <c r="B99" s="59" t="s">
        <v>95</v>
      </c>
      <c r="C99" s="65"/>
      <c r="D99" s="65">
        <v>3793</v>
      </c>
      <c r="E99" s="65">
        <v>3725</v>
      </c>
      <c r="F99" s="65">
        <v>3646</v>
      </c>
      <c r="G99" s="65">
        <v>3593</v>
      </c>
      <c r="H99" s="65">
        <v>3496</v>
      </c>
      <c r="I99" s="65">
        <v>3403</v>
      </c>
      <c r="J99" s="65">
        <v>3332</v>
      </c>
      <c r="K99" s="65">
        <v>3296</v>
      </c>
      <c r="L99" s="65">
        <v>3241</v>
      </c>
      <c r="M99" s="67">
        <v>2777</v>
      </c>
      <c r="P99" s="65">
        <f t="shared" si="7"/>
        <v>3241</v>
      </c>
      <c r="Q99" s="65">
        <f t="shared" si="10"/>
        <v>3189</v>
      </c>
      <c r="R99" s="65">
        <f t="shared" si="8"/>
        <v>3138</v>
      </c>
      <c r="S99" s="65">
        <f t="shared" si="8"/>
        <v>3086</v>
      </c>
      <c r="T99" s="65">
        <f t="shared" si="8"/>
        <v>3035</v>
      </c>
      <c r="U99" s="65">
        <f t="shared" si="8"/>
        <v>2983</v>
      </c>
      <c r="V99" s="65">
        <f t="shared" si="8"/>
        <v>2932</v>
      </c>
      <c r="W99" s="65">
        <f t="shared" si="8"/>
        <v>2880</v>
      </c>
      <c r="X99" s="65">
        <f t="shared" si="8"/>
        <v>2829</v>
      </c>
      <c r="Y99" s="60">
        <f t="shared" si="9"/>
        <v>2777</v>
      </c>
      <c r="Z99" s="52" t="s">
        <v>295</v>
      </c>
    </row>
    <row r="100" spans="1:26" x14ac:dyDescent="0.35">
      <c r="A100" s="60" t="str">
        <f>VLOOKUP(B100,IKP!$Q$6:$R$124,2,FALSE)</f>
        <v>Pierīgas statistiskais reģions</v>
      </c>
      <c r="B100" s="59" t="s">
        <v>96</v>
      </c>
      <c r="C100" s="65"/>
      <c r="D100" s="65">
        <v>22314</v>
      </c>
      <c r="E100" s="65">
        <v>22088</v>
      </c>
      <c r="F100" s="65">
        <v>22208</v>
      </c>
      <c r="G100" s="65">
        <v>22209</v>
      </c>
      <c r="H100" s="65">
        <v>22291</v>
      </c>
      <c r="I100" s="65">
        <v>22555</v>
      </c>
      <c r="J100" s="65">
        <v>22659</v>
      </c>
      <c r="K100" s="65">
        <v>22738</v>
      </c>
      <c r="L100" s="65">
        <v>22868</v>
      </c>
      <c r="M100" s="67">
        <v>24205</v>
      </c>
      <c r="P100" s="65">
        <f t="shared" si="7"/>
        <v>22868</v>
      </c>
      <c r="Q100" s="65">
        <f t="shared" si="10"/>
        <v>23017</v>
      </c>
      <c r="R100" s="65">
        <f t="shared" si="8"/>
        <v>23165</v>
      </c>
      <c r="S100" s="65">
        <f t="shared" si="8"/>
        <v>23314</v>
      </c>
      <c r="T100" s="65">
        <f t="shared" si="8"/>
        <v>23462</v>
      </c>
      <c r="U100" s="65">
        <f t="shared" si="8"/>
        <v>23611</v>
      </c>
      <c r="V100" s="65">
        <f t="shared" si="8"/>
        <v>23759</v>
      </c>
      <c r="W100" s="65">
        <f t="shared" si="8"/>
        <v>23908</v>
      </c>
      <c r="X100" s="65">
        <f t="shared" si="8"/>
        <v>24056</v>
      </c>
      <c r="Y100" s="60">
        <f t="shared" si="9"/>
        <v>24205</v>
      </c>
      <c r="Z100" s="52" t="s">
        <v>292</v>
      </c>
    </row>
    <row r="101" spans="1:26" x14ac:dyDescent="0.35">
      <c r="A101" s="60" t="str">
        <f>VLOOKUP(B101,IKP!$Q$6:$R$124,2,FALSE)</f>
        <v>Kurzemes statistiskais reģions</v>
      </c>
      <c r="B101" s="59" t="s">
        <v>97</v>
      </c>
      <c r="C101" s="65"/>
      <c r="D101" s="65">
        <v>24909</v>
      </c>
      <c r="E101" s="65">
        <v>24494</v>
      </c>
      <c r="F101" s="65">
        <v>24087</v>
      </c>
      <c r="G101" s="65">
        <v>23661</v>
      </c>
      <c r="H101" s="65">
        <v>23005</v>
      </c>
      <c r="I101" s="65">
        <v>22422</v>
      </c>
      <c r="J101" s="65">
        <v>22006</v>
      </c>
      <c r="K101" s="65">
        <v>21778</v>
      </c>
      <c r="L101" s="65">
        <v>21438</v>
      </c>
      <c r="M101" s="67">
        <v>17459</v>
      </c>
      <c r="P101" s="65">
        <f t="shared" si="7"/>
        <v>21438</v>
      </c>
      <c r="Q101" s="65">
        <f t="shared" si="10"/>
        <v>20996</v>
      </c>
      <c r="R101" s="65">
        <f t="shared" si="8"/>
        <v>20554</v>
      </c>
      <c r="S101" s="65">
        <f t="shared" si="8"/>
        <v>20112</v>
      </c>
      <c r="T101" s="65">
        <f t="shared" si="8"/>
        <v>19670</v>
      </c>
      <c r="U101" s="65">
        <f t="shared" si="8"/>
        <v>19227</v>
      </c>
      <c r="V101" s="65">
        <f t="shared" si="8"/>
        <v>18785</v>
      </c>
      <c r="W101" s="65">
        <f t="shared" si="8"/>
        <v>18343</v>
      </c>
      <c r="X101" s="65">
        <f t="shared" si="8"/>
        <v>17901</v>
      </c>
      <c r="Y101" s="60">
        <f t="shared" si="9"/>
        <v>17459</v>
      </c>
      <c r="Z101" s="52" t="s">
        <v>293</v>
      </c>
    </row>
    <row r="102" spans="1:26" x14ac:dyDescent="0.35">
      <c r="A102" s="60" t="str">
        <f>VLOOKUP(B102,IKP!$Q$6:$R$124,2,FALSE)</f>
        <v>Pierīgas statistiskais reģions</v>
      </c>
      <c r="B102" s="59" t="s">
        <v>98</v>
      </c>
      <c r="C102" s="65"/>
      <c r="D102" s="65">
        <v>5855</v>
      </c>
      <c r="E102" s="65">
        <v>5773</v>
      </c>
      <c r="F102" s="65">
        <v>5750</v>
      </c>
      <c r="G102" s="65">
        <v>5690</v>
      </c>
      <c r="H102" s="65">
        <v>5594</v>
      </c>
      <c r="I102" s="65">
        <v>5751</v>
      </c>
      <c r="J102" s="65">
        <v>6532</v>
      </c>
      <c r="K102" s="65">
        <v>6871</v>
      </c>
      <c r="L102" s="65">
        <v>7079</v>
      </c>
      <c r="M102" s="67">
        <v>5926</v>
      </c>
      <c r="P102" s="65">
        <f t="shared" si="7"/>
        <v>7079</v>
      </c>
      <c r="Q102" s="65">
        <f t="shared" si="10"/>
        <v>6951</v>
      </c>
      <c r="R102" s="65">
        <f t="shared" si="8"/>
        <v>6823</v>
      </c>
      <c r="S102" s="65">
        <f t="shared" si="8"/>
        <v>6695</v>
      </c>
      <c r="T102" s="65">
        <f t="shared" si="8"/>
        <v>6567</v>
      </c>
      <c r="U102" s="65">
        <f t="shared" si="8"/>
        <v>6438</v>
      </c>
      <c r="V102" s="65">
        <f t="shared" si="8"/>
        <v>6310</v>
      </c>
      <c r="W102" s="65">
        <f t="shared" si="8"/>
        <v>6182</v>
      </c>
      <c r="X102" s="65">
        <f t="shared" si="8"/>
        <v>6054</v>
      </c>
      <c r="Y102" s="60">
        <f t="shared" si="9"/>
        <v>5926</v>
      </c>
      <c r="Z102" s="52" t="s">
        <v>292</v>
      </c>
    </row>
    <row r="103" spans="1:26" x14ac:dyDescent="0.35">
      <c r="A103" s="60" t="str">
        <f>VLOOKUP(B103,IKP!$Q$6:$R$124,2,FALSE)</f>
        <v>Pierīgas statistiskais reģions</v>
      </c>
      <c r="B103" s="59" t="s">
        <v>99</v>
      </c>
      <c r="C103" s="65"/>
      <c r="D103" s="65">
        <v>2246</v>
      </c>
      <c r="E103" s="65">
        <v>2223</v>
      </c>
      <c r="F103" s="65">
        <v>2229</v>
      </c>
      <c r="G103" s="65">
        <v>2242</v>
      </c>
      <c r="H103" s="65">
        <v>2185</v>
      </c>
      <c r="I103" s="65">
        <v>2185</v>
      </c>
      <c r="J103" s="65">
        <v>2128</v>
      </c>
      <c r="K103" s="65">
        <v>2163</v>
      </c>
      <c r="L103" s="65">
        <v>2151</v>
      </c>
      <c r="M103" s="67">
        <v>2011</v>
      </c>
      <c r="P103" s="65">
        <f t="shared" si="7"/>
        <v>2151</v>
      </c>
      <c r="Q103" s="65">
        <f t="shared" si="10"/>
        <v>2135</v>
      </c>
      <c r="R103" s="65">
        <f t="shared" si="8"/>
        <v>2120</v>
      </c>
      <c r="S103" s="65">
        <f t="shared" si="8"/>
        <v>2104</v>
      </c>
      <c r="T103" s="65">
        <f t="shared" si="8"/>
        <v>2089</v>
      </c>
      <c r="U103" s="65">
        <f t="shared" si="8"/>
        <v>2073</v>
      </c>
      <c r="V103" s="65">
        <f t="shared" si="8"/>
        <v>2058</v>
      </c>
      <c r="W103" s="65">
        <f t="shared" si="8"/>
        <v>2042</v>
      </c>
      <c r="X103" s="65">
        <f t="shared" si="8"/>
        <v>2027</v>
      </c>
      <c r="Y103" s="60">
        <f t="shared" si="9"/>
        <v>2011</v>
      </c>
      <c r="Z103" s="52" t="s">
        <v>292</v>
      </c>
    </row>
    <row r="104" spans="1:26" x14ac:dyDescent="0.35">
      <c r="A104" s="60" t="str">
        <f>VLOOKUP(B104,IKP!$Q$6:$R$124,2,FALSE)</f>
        <v>Pierīgas statistiskais reģions</v>
      </c>
      <c r="B104" s="59" t="s">
        <v>100</v>
      </c>
      <c r="C104" s="65"/>
      <c r="D104" s="65">
        <v>17055</v>
      </c>
      <c r="E104" s="65">
        <v>17117</v>
      </c>
      <c r="F104" s="65">
        <v>17322</v>
      </c>
      <c r="G104" s="65">
        <v>17337</v>
      </c>
      <c r="H104" s="65">
        <v>17258</v>
      </c>
      <c r="I104" s="65">
        <v>17337</v>
      </c>
      <c r="J104" s="65">
        <v>17761</v>
      </c>
      <c r="K104" s="65">
        <v>18054</v>
      </c>
      <c r="L104" s="65">
        <v>18081</v>
      </c>
      <c r="M104" s="67">
        <v>18259</v>
      </c>
      <c r="P104" s="65">
        <f t="shared" si="7"/>
        <v>18081</v>
      </c>
      <c r="Q104" s="65">
        <f t="shared" si="10"/>
        <v>18101</v>
      </c>
      <c r="R104" s="65">
        <f t="shared" si="8"/>
        <v>18121</v>
      </c>
      <c r="S104" s="65">
        <f t="shared" si="8"/>
        <v>18140</v>
      </c>
      <c r="T104" s="65">
        <f t="shared" si="8"/>
        <v>18160</v>
      </c>
      <c r="U104" s="65">
        <f t="shared" si="8"/>
        <v>18180</v>
      </c>
      <c r="V104" s="65">
        <f t="shared" si="8"/>
        <v>18200</v>
      </c>
      <c r="W104" s="65">
        <f t="shared" si="8"/>
        <v>18219</v>
      </c>
      <c r="X104" s="65">
        <f t="shared" si="8"/>
        <v>18239</v>
      </c>
      <c r="Y104" s="60">
        <f t="shared" si="9"/>
        <v>18259</v>
      </c>
      <c r="Z104" s="52" t="s">
        <v>292</v>
      </c>
    </row>
    <row r="105" spans="1:26" x14ac:dyDescent="0.35">
      <c r="A105" s="60" t="str">
        <f>VLOOKUP(B105,IKP!$Q$6:$R$124,2,FALSE)</f>
        <v>Zemgales statistiskais reģions</v>
      </c>
      <c r="B105" s="59" t="s">
        <v>101</v>
      </c>
      <c r="C105" s="65"/>
      <c r="D105" s="65">
        <v>3625</v>
      </c>
      <c r="E105" s="65">
        <v>3554</v>
      </c>
      <c r="F105" s="65">
        <v>3508</v>
      </c>
      <c r="G105" s="65">
        <v>3474</v>
      </c>
      <c r="H105" s="65">
        <v>3413</v>
      </c>
      <c r="I105" s="65">
        <v>3366</v>
      </c>
      <c r="J105" s="65">
        <v>3339</v>
      </c>
      <c r="K105" s="65">
        <v>3413</v>
      </c>
      <c r="L105" s="65">
        <v>3417</v>
      </c>
      <c r="M105" s="67">
        <v>2822</v>
      </c>
      <c r="P105" s="65">
        <f t="shared" si="7"/>
        <v>3417</v>
      </c>
      <c r="Q105" s="65">
        <f t="shared" si="10"/>
        <v>3351</v>
      </c>
      <c r="R105" s="65">
        <f t="shared" si="8"/>
        <v>3285</v>
      </c>
      <c r="S105" s="65">
        <f t="shared" si="8"/>
        <v>3219</v>
      </c>
      <c r="T105" s="65">
        <f t="shared" si="8"/>
        <v>3153</v>
      </c>
      <c r="U105" s="65">
        <f t="shared" si="8"/>
        <v>3086</v>
      </c>
      <c r="V105" s="65">
        <f t="shared" si="8"/>
        <v>3020</v>
      </c>
      <c r="W105" s="65">
        <f t="shared" si="8"/>
        <v>2954</v>
      </c>
      <c r="X105" s="65">
        <f t="shared" si="8"/>
        <v>2888</v>
      </c>
      <c r="Y105" s="60">
        <f t="shared" si="9"/>
        <v>2822</v>
      </c>
      <c r="Z105" s="52" t="s">
        <v>295</v>
      </c>
    </row>
    <row r="106" spans="1:26" x14ac:dyDescent="0.35">
      <c r="A106" s="60" t="str">
        <f>VLOOKUP(B106,IKP!$Q$6:$R$124,2,FALSE)</f>
        <v>Kurzemes statistiskais reģions</v>
      </c>
      <c r="B106" s="59" t="s">
        <v>102</v>
      </c>
      <c r="C106" s="65"/>
      <c r="D106" s="65">
        <v>5248</v>
      </c>
      <c r="E106" s="65">
        <v>5142</v>
      </c>
      <c r="F106" s="65">
        <v>5082</v>
      </c>
      <c r="G106" s="65">
        <v>4922</v>
      </c>
      <c r="H106" s="65">
        <v>4802</v>
      </c>
      <c r="I106" s="65">
        <v>4747</v>
      </c>
      <c r="J106" s="65">
        <v>4661</v>
      </c>
      <c r="K106" s="65">
        <v>4592</v>
      </c>
      <c r="L106" s="65">
        <v>4526</v>
      </c>
      <c r="M106" s="67">
        <v>3800</v>
      </c>
      <c r="P106" s="65">
        <f t="shared" si="7"/>
        <v>4526</v>
      </c>
      <c r="Q106" s="65">
        <f t="shared" si="10"/>
        <v>4445</v>
      </c>
      <c r="R106" s="65">
        <f t="shared" si="8"/>
        <v>4365</v>
      </c>
      <c r="S106" s="65">
        <f t="shared" si="8"/>
        <v>4284</v>
      </c>
      <c r="T106" s="65">
        <f t="shared" ref="R106:X123" si="11">ROUND((_xlfn.FORECAST.LINEAR(T$3,$L106:$M106,$L$3:$M$3)),0)</f>
        <v>4203</v>
      </c>
      <c r="U106" s="65">
        <f t="shared" si="11"/>
        <v>4123</v>
      </c>
      <c r="V106" s="65">
        <f t="shared" si="11"/>
        <v>4042</v>
      </c>
      <c r="W106" s="65">
        <f t="shared" si="11"/>
        <v>3961</v>
      </c>
      <c r="X106" s="65">
        <f t="shared" si="11"/>
        <v>3881</v>
      </c>
      <c r="Y106" s="60">
        <f t="shared" si="9"/>
        <v>3800</v>
      </c>
      <c r="Z106" s="52" t="s">
        <v>293</v>
      </c>
    </row>
    <row r="107" spans="1:26" x14ac:dyDescent="0.35">
      <c r="A107" s="60" t="str">
        <f>VLOOKUP(B107,IKP!$Q$6:$R$124,2,FALSE)</f>
        <v>Vidzemes statistiskais reģions</v>
      </c>
      <c r="B107" s="59" t="s">
        <v>103</v>
      </c>
      <c r="C107" s="65"/>
      <c r="D107" s="65">
        <v>12956</v>
      </c>
      <c r="E107" s="65">
        <v>12811</v>
      </c>
      <c r="F107" s="65">
        <v>12697</v>
      </c>
      <c r="G107" s="65">
        <v>12472</v>
      </c>
      <c r="H107" s="65">
        <v>12290</v>
      </c>
      <c r="I107" s="65">
        <v>12082</v>
      </c>
      <c r="J107" s="65">
        <v>12015</v>
      </c>
      <c r="K107" s="65">
        <v>12077</v>
      </c>
      <c r="L107" s="65">
        <v>11945</v>
      </c>
      <c r="M107" s="67">
        <v>9956</v>
      </c>
      <c r="P107" s="65">
        <f t="shared" si="7"/>
        <v>11945</v>
      </c>
      <c r="Q107" s="65">
        <f t="shared" si="10"/>
        <v>11724</v>
      </c>
      <c r="R107" s="65">
        <f t="shared" si="11"/>
        <v>11503</v>
      </c>
      <c r="S107" s="65">
        <f t="shared" si="11"/>
        <v>11282</v>
      </c>
      <c r="T107" s="65">
        <f t="shared" si="11"/>
        <v>11061</v>
      </c>
      <c r="U107" s="65">
        <f t="shared" si="11"/>
        <v>10840</v>
      </c>
      <c r="V107" s="65">
        <f t="shared" si="11"/>
        <v>10619</v>
      </c>
      <c r="W107" s="65">
        <f t="shared" si="11"/>
        <v>10398</v>
      </c>
      <c r="X107" s="65">
        <f t="shared" si="11"/>
        <v>10177</v>
      </c>
      <c r="Y107" s="60">
        <f t="shared" si="9"/>
        <v>9956</v>
      </c>
      <c r="Z107" s="52" t="s">
        <v>294</v>
      </c>
    </row>
    <row r="108" spans="1:26" x14ac:dyDescent="0.35">
      <c r="A108" s="60" t="str">
        <f>VLOOKUP(B108,IKP!$Q$6:$R$124,2,FALSE)</f>
        <v>Pierīgas statistiskais reģions</v>
      </c>
      <c r="B108" s="59" t="s">
        <v>104</v>
      </c>
      <c r="C108" s="65"/>
      <c r="D108" s="65">
        <v>10237</v>
      </c>
      <c r="E108" s="65">
        <v>10195</v>
      </c>
      <c r="F108" s="65">
        <v>10219</v>
      </c>
      <c r="G108" s="65">
        <v>10237</v>
      </c>
      <c r="H108" s="65">
        <v>10293</v>
      </c>
      <c r="I108" s="65">
        <v>10492</v>
      </c>
      <c r="J108" s="65">
        <v>10845</v>
      </c>
      <c r="K108" s="65">
        <v>11563</v>
      </c>
      <c r="L108" s="65">
        <v>12201</v>
      </c>
      <c r="M108" s="67">
        <v>11259</v>
      </c>
      <c r="P108" s="65">
        <f t="shared" si="7"/>
        <v>12201</v>
      </c>
      <c r="Q108" s="65">
        <f t="shared" si="10"/>
        <v>12096</v>
      </c>
      <c r="R108" s="65">
        <f t="shared" si="11"/>
        <v>11992</v>
      </c>
      <c r="S108" s="65">
        <f t="shared" si="11"/>
        <v>11887</v>
      </c>
      <c r="T108" s="65">
        <f t="shared" si="11"/>
        <v>11782</v>
      </c>
      <c r="U108" s="65">
        <f t="shared" si="11"/>
        <v>11678</v>
      </c>
      <c r="V108" s="65">
        <f t="shared" si="11"/>
        <v>11573</v>
      </c>
      <c r="W108" s="65">
        <f t="shared" si="11"/>
        <v>11468</v>
      </c>
      <c r="X108" s="65">
        <f t="shared" si="11"/>
        <v>11364</v>
      </c>
      <c r="Y108" s="60">
        <f t="shared" si="9"/>
        <v>11259</v>
      </c>
      <c r="Z108" s="52" t="s">
        <v>292</v>
      </c>
    </row>
    <row r="109" spans="1:26" x14ac:dyDescent="0.35">
      <c r="A109" s="60" t="str">
        <f>VLOOKUP(B109,IKP!$Q$6:$R$124,2,FALSE)</f>
        <v>Vidzemes statistiskais reģions</v>
      </c>
      <c r="B109" s="59" t="s">
        <v>105</v>
      </c>
      <c r="C109" s="65"/>
      <c r="D109" s="65">
        <v>3589</v>
      </c>
      <c r="E109" s="65">
        <v>3459</v>
      </c>
      <c r="F109" s="65">
        <v>3334</v>
      </c>
      <c r="G109" s="65">
        <v>3208</v>
      </c>
      <c r="H109" s="65">
        <v>3077</v>
      </c>
      <c r="I109" s="65">
        <v>2945</v>
      </c>
      <c r="J109" s="65">
        <v>2915</v>
      </c>
      <c r="K109" s="65">
        <v>2857</v>
      </c>
      <c r="L109" s="65">
        <v>2892</v>
      </c>
      <c r="M109" s="67">
        <v>1684</v>
      </c>
      <c r="P109" s="65">
        <f t="shared" si="7"/>
        <v>2892</v>
      </c>
      <c r="Q109" s="65">
        <f t="shared" si="10"/>
        <v>2758</v>
      </c>
      <c r="R109" s="65">
        <f t="shared" si="11"/>
        <v>2624</v>
      </c>
      <c r="S109" s="65">
        <f t="shared" si="11"/>
        <v>2489</v>
      </c>
      <c r="T109" s="65">
        <f t="shared" si="11"/>
        <v>2355</v>
      </c>
      <c r="U109" s="65">
        <f t="shared" si="11"/>
        <v>2221</v>
      </c>
      <c r="V109" s="65">
        <f t="shared" si="11"/>
        <v>2087</v>
      </c>
      <c r="W109" s="65">
        <f t="shared" si="11"/>
        <v>1952</v>
      </c>
      <c r="X109" s="65">
        <f t="shared" si="11"/>
        <v>1818</v>
      </c>
      <c r="Y109" s="60">
        <f t="shared" si="9"/>
        <v>1684</v>
      </c>
      <c r="Z109" s="52" t="s">
        <v>294</v>
      </c>
    </row>
    <row r="110" spans="1:26" x14ac:dyDescent="0.35">
      <c r="A110" s="60" t="str">
        <f>VLOOKUP(B110,IKP!$Q$6:$R$124,2,FALSE)</f>
        <v>Kurzemes statistiskais reģions</v>
      </c>
      <c r="B110" s="59" t="s">
        <v>106</v>
      </c>
      <c r="C110" s="65"/>
      <c r="D110" s="65">
        <v>30328</v>
      </c>
      <c r="E110" s="65">
        <v>29747</v>
      </c>
      <c r="F110" s="65">
        <v>29447</v>
      </c>
      <c r="G110" s="65">
        <v>29004</v>
      </c>
      <c r="H110" s="65">
        <v>28425</v>
      </c>
      <c r="I110" s="65">
        <v>28071</v>
      </c>
      <c r="J110" s="65">
        <v>27730</v>
      </c>
      <c r="K110" s="65">
        <v>27689</v>
      </c>
      <c r="L110" s="65">
        <v>27391</v>
      </c>
      <c r="M110" s="67">
        <v>22962</v>
      </c>
      <c r="P110" s="65">
        <f t="shared" si="7"/>
        <v>27391</v>
      </c>
      <c r="Q110" s="65">
        <f t="shared" si="10"/>
        <v>26899</v>
      </c>
      <c r="R110" s="65">
        <f t="shared" si="11"/>
        <v>26407</v>
      </c>
      <c r="S110" s="65">
        <f t="shared" si="11"/>
        <v>25915</v>
      </c>
      <c r="T110" s="65">
        <f t="shared" si="11"/>
        <v>25423</v>
      </c>
      <c r="U110" s="65">
        <f t="shared" si="11"/>
        <v>24930</v>
      </c>
      <c r="V110" s="65">
        <f t="shared" si="11"/>
        <v>24438</v>
      </c>
      <c r="W110" s="65">
        <f t="shared" si="11"/>
        <v>23946</v>
      </c>
      <c r="X110" s="65">
        <f t="shared" si="11"/>
        <v>23454</v>
      </c>
      <c r="Y110" s="60">
        <f t="shared" si="9"/>
        <v>22962</v>
      </c>
      <c r="Z110" s="52" t="s">
        <v>293</v>
      </c>
    </row>
    <row r="111" spans="1:26" x14ac:dyDescent="0.35">
      <c r="A111" s="60" t="str">
        <f>VLOOKUP(B111,IKP!$Q$6:$R$124,2,FALSE)</f>
        <v>Zemgales statistiskais reģions</v>
      </c>
      <c r="B111" s="59" t="s">
        <v>107</v>
      </c>
      <c r="C111" s="65"/>
      <c r="D111" s="65">
        <v>3579</v>
      </c>
      <c r="E111" s="65">
        <v>3501</v>
      </c>
      <c r="F111" s="65">
        <v>3438</v>
      </c>
      <c r="G111" s="65">
        <v>3492</v>
      </c>
      <c r="H111" s="65">
        <v>3398</v>
      </c>
      <c r="I111" s="65">
        <v>3396</v>
      </c>
      <c r="J111" s="65">
        <v>3339</v>
      </c>
      <c r="K111" s="65">
        <v>3353</v>
      </c>
      <c r="L111" s="65">
        <v>3273</v>
      </c>
      <c r="M111" s="67">
        <v>2910</v>
      </c>
      <c r="P111" s="65">
        <f t="shared" si="7"/>
        <v>3273</v>
      </c>
      <c r="Q111" s="65">
        <f t="shared" si="10"/>
        <v>3233</v>
      </c>
      <c r="R111" s="65">
        <f t="shared" si="11"/>
        <v>3192</v>
      </c>
      <c r="S111" s="65">
        <f t="shared" si="11"/>
        <v>3152</v>
      </c>
      <c r="T111" s="65">
        <f t="shared" si="11"/>
        <v>3112</v>
      </c>
      <c r="U111" s="65">
        <f t="shared" si="11"/>
        <v>3071</v>
      </c>
      <c r="V111" s="65">
        <f t="shared" si="11"/>
        <v>3031</v>
      </c>
      <c r="W111" s="65">
        <f t="shared" si="11"/>
        <v>2991</v>
      </c>
      <c r="X111" s="65">
        <f t="shared" si="11"/>
        <v>2950</v>
      </c>
      <c r="Y111" s="60">
        <f t="shared" si="9"/>
        <v>2910</v>
      </c>
      <c r="Z111" s="52" t="s">
        <v>295</v>
      </c>
    </row>
    <row r="112" spans="1:26" x14ac:dyDescent="0.35">
      <c r="A112" s="60" t="str">
        <f>VLOOKUP(B112,IKP!$Q$6:$R$124,2,FALSE)</f>
        <v>Pierīgas statistiskais reģions</v>
      </c>
      <c r="B112" s="59" t="s">
        <v>108</v>
      </c>
      <c r="C112" s="65"/>
      <c r="D112" s="65">
        <v>29719</v>
      </c>
      <c r="E112" s="65">
        <v>29177</v>
      </c>
      <c r="F112" s="65">
        <v>29069</v>
      </c>
      <c r="G112" s="65">
        <v>28677</v>
      </c>
      <c r="H112" s="65">
        <v>28221</v>
      </c>
      <c r="I112" s="65">
        <v>27901</v>
      </c>
      <c r="J112" s="65">
        <v>27848</v>
      </c>
      <c r="K112" s="65">
        <v>27698</v>
      </c>
      <c r="L112" s="65">
        <v>27614</v>
      </c>
      <c r="M112" s="67">
        <v>23531</v>
      </c>
      <c r="P112" s="65">
        <f t="shared" si="7"/>
        <v>27614</v>
      </c>
      <c r="Q112" s="65">
        <f t="shared" si="10"/>
        <v>27160</v>
      </c>
      <c r="R112" s="65">
        <f t="shared" si="11"/>
        <v>26707</v>
      </c>
      <c r="S112" s="65">
        <f t="shared" si="11"/>
        <v>26253</v>
      </c>
      <c r="T112" s="65">
        <f t="shared" si="11"/>
        <v>25799</v>
      </c>
      <c r="U112" s="65">
        <f t="shared" si="11"/>
        <v>25346</v>
      </c>
      <c r="V112" s="65">
        <f t="shared" si="11"/>
        <v>24892</v>
      </c>
      <c r="W112" s="65">
        <f t="shared" si="11"/>
        <v>24438</v>
      </c>
      <c r="X112" s="65">
        <f t="shared" si="11"/>
        <v>23985</v>
      </c>
      <c r="Y112" s="60">
        <f t="shared" si="9"/>
        <v>23531</v>
      </c>
      <c r="Z112" s="52" t="s">
        <v>292</v>
      </c>
    </row>
    <row r="113" spans="1:26" x14ac:dyDescent="0.35">
      <c r="A113" s="60" t="str">
        <f>VLOOKUP(B113,IKP!$Q$6:$R$124,2,FALSE)</f>
        <v>Kurzemes statistiskais reģions</v>
      </c>
      <c r="B113" s="59" t="s">
        <v>109</v>
      </c>
      <c r="C113" s="65"/>
      <c r="D113" s="65">
        <v>2583</v>
      </c>
      <c r="E113" s="65">
        <v>2520</v>
      </c>
      <c r="F113" s="65">
        <v>2469</v>
      </c>
      <c r="G113" s="65">
        <v>2429</v>
      </c>
      <c r="H113" s="65">
        <v>2397</v>
      </c>
      <c r="I113" s="65">
        <v>2337</v>
      </c>
      <c r="J113" s="65">
        <v>2285</v>
      </c>
      <c r="K113" s="65">
        <v>2276</v>
      </c>
      <c r="L113" s="65">
        <v>2216</v>
      </c>
      <c r="M113" s="67">
        <v>1897</v>
      </c>
      <c r="P113" s="65">
        <f t="shared" si="7"/>
        <v>2216</v>
      </c>
      <c r="Q113" s="65">
        <f t="shared" si="10"/>
        <v>2181</v>
      </c>
      <c r="R113" s="65">
        <f t="shared" si="11"/>
        <v>2145</v>
      </c>
      <c r="S113" s="65">
        <f t="shared" si="11"/>
        <v>2110</v>
      </c>
      <c r="T113" s="65">
        <f t="shared" si="11"/>
        <v>2074</v>
      </c>
      <c r="U113" s="65">
        <f t="shared" si="11"/>
        <v>2039</v>
      </c>
      <c r="V113" s="65">
        <f t="shared" si="11"/>
        <v>2003</v>
      </c>
      <c r="W113" s="65">
        <f t="shared" si="11"/>
        <v>1968</v>
      </c>
      <c r="X113" s="65">
        <f t="shared" si="11"/>
        <v>1932</v>
      </c>
      <c r="Y113" s="60">
        <f t="shared" si="9"/>
        <v>1897</v>
      </c>
      <c r="Z113" s="52" t="s">
        <v>293</v>
      </c>
    </row>
    <row r="114" spans="1:26" x14ac:dyDescent="0.35">
      <c r="A114" s="60" t="str">
        <f>VLOOKUP(B114,IKP!$Q$6:$R$124,2,FALSE)</f>
        <v>Vidzemes statistiskais reģions</v>
      </c>
      <c r="B114" s="59" t="s">
        <v>110</v>
      </c>
      <c r="C114" s="65"/>
      <c r="D114" s="65">
        <v>8915</v>
      </c>
      <c r="E114" s="65">
        <v>8664</v>
      </c>
      <c r="F114" s="65">
        <v>8480</v>
      </c>
      <c r="G114" s="65">
        <v>8269</v>
      </c>
      <c r="H114" s="65">
        <v>8049</v>
      </c>
      <c r="I114" s="65">
        <v>7813</v>
      </c>
      <c r="J114" s="65">
        <v>7692</v>
      </c>
      <c r="K114" s="65">
        <v>7684</v>
      </c>
      <c r="L114" s="65">
        <v>7596</v>
      </c>
      <c r="M114" s="67">
        <v>5339</v>
      </c>
      <c r="P114" s="65">
        <f t="shared" si="7"/>
        <v>7596</v>
      </c>
      <c r="Q114" s="65">
        <f t="shared" si="10"/>
        <v>7345</v>
      </c>
      <c r="R114" s="65">
        <f t="shared" si="11"/>
        <v>7094</v>
      </c>
      <c r="S114" s="65">
        <f t="shared" si="11"/>
        <v>6844</v>
      </c>
      <c r="T114" s="65">
        <f t="shared" si="11"/>
        <v>6593</v>
      </c>
      <c r="U114" s="65">
        <f t="shared" si="11"/>
        <v>6342</v>
      </c>
      <c r="V114" s="65">
        <f t="shared" si="11"/>
        <v>6091</v>
      </c>
      <c r="W114" s="65">
        <f t="shared" si="11"/>
        <v>5841</v>
      </c>
      <c r="X114" s="65">
        <f t="shared" si="11"/>
        <v>5590</v>
      </c>
      <c r="Y114" s="60">
        <f t="shared" si="9"/>
        <v>5339</v>
      </c>
      <c r="Z114" s="52" t="s">
        <v>294</v>
      </c>
    </row>
    <row r="115" spans="1:26" x14ac:dyDescent="0.35">
      <c r="A115" s="60" t="str">
        <f>VLOOKUP(B115,IKP!$Q$6:$R$124,2,FALSE)</f>
        <v>Vidzemes statistiskais reģions</v>
      </c>
      <c r="B115" s="59" t="s">
        <v>111</v>
      </c>
      <c r="C115" s="65"/>
      <c r="D115" s="65">
        <v>3481</v>
      </c>
      <c r="E115" s="65">
        <v>3395</v>
      </c>
      <c r="F115" s="65">
        <v>3340</v>
      </c>
      <c r="G115" s="65">
        <v>3263</v>
      </c>
      <c r="H115" s="65">
        <v>3216</v>
      </c>
      <c r="I115" s="65">
        <v>3132</v>
      </c>
      <c r="J115" s="65">
        <v>3056</v>
      </c>
      <c r="K115" s="65">
        <v>3015</v>
      </c>
      <c r="L115" s="65">
        <v>2945</v>
      </c>
      <c r="M115" s="67">
        <v>2362</v>
      </c>
      <c r="P115" s="65">
        <f t="shared" si="7"/>
        <v>2945</v>
      </c>
      <c r="Q115" s="65">
        <f t="shared" si="10"/>
        <v>2880</v>
      </c>
      <c r="R115" s="65">
        <f t="shared" si="11"/>
        <v>2815</v>
      </c>
      <c r="S115" s="65">
        <f t="shared" si="11"/>
        <v>2751</v>
      </c>
      <c r="T115" s="65">
        <f t="shared" si="11"/>
        <v>2686</v>
      </c>
      <c r="U115" s="65">
        <f t="shared" si="11"/>
        <v>2621</v>
      </c>
      <c r="V115" s="65">
        <f t="shared" si="11"/>
        <v>2556</v>
      </c>
      <c r="W115" s="65">
        <f t="shared" si="11"/>
        <v>2492</v>
      </c>
      <c r="X115" s="65">
        <f t="shared" si="11"/>
        <v>2427</v>
      </c>
      <c r="Y115" s="60">
        <f t="shared" si="9"/>
        <v>2362</v>
      </c>
      <c r="Z115" s="52" t="s">
        <v>294</v>
      </c>
    </row>
    <row r="116" spans="1:26" x14ac:dyDescent="0.35">
      <c r="A116" s="60" t="str">
        <f>VLOOKUP(B116,IKP!$Q$6:$R$124,2,FALSE)</f>
        <v>Latgales statistiskais reģions</v>
      </c>
      <c r="B116" s="59" t="s">
        <v>112</v>
      </c>
      <c r="C116" s="65"/>
      <c r="D116" s="65">
        <v>2067</v>
      </c>
      <c r="E116" s="65">
        <v>2034</v>
      </c>
      <c r="F116" s="65">
        <v>2009</v>
      </c>
      <c r="G116" s="65">
        <v>1961</v>
      </c>
      <c r="H116" s="65">
        <v>1931</v>
      </c>
      <c r="I116" s="65">
        <v>1869</v>
      </c>
      <c r="J116" s="65">
        <v>1824</v>
      </c>
      <c r="K116" s="65">
        <v>1830</v>
      </c>
      <c r="L116" s="65">
        <v>1754</v>
      </c>
      <c r="M116" s="67">
        <v>1488</v>
      </c>
      <c r="P116" s="65">
        <f t="shared" si="7"/>
        <v>1754</v>
      </c>
      <c r="Q116" s="65">
        <f t="shared" si="10"/>
        <v>1724</v>
      </c>
      <c r="R116" s="65">
        <f t="shared" si="11"/>
        <v>1695</v>
      </c>
      <c r="S116" s="65">
        <f t="shared" si="11"/>
        <v>1665</v>
      </c>
      <c r="T116" s="65">
        <f t="shared" si="11"/>
        <v>1636</v>
      </c>
      <c r="U116" s="65">
        <f t="shared" si="11"/>
        <v>1606</v>
      </c>
      <c r="V116" s="65">
        <f t="shared" si="11"/>
        <v>1577</v>
      </c>
      <c r="W116" s="65">
        <f t="shared" si="11"/>
        <v>1547</v>
      </c>
      <c r="X116" s="65">
        <f t="shared" si="11"/>
        <v>1518</v>
      </c>
      <c r="Y116" s="60">
        <f t="shared" si="9"/>
        <v>1488</v>
      </c>
      <c r="Z116" s="52" t="s">
        <v>296</v>
      </c>
    </row>
    <row r="117" spans="1:26" x14ac:dyDescent="0.35">
      <c r="A117" s="60" t="str">
        <f>VLOOKUP(B117,IKP!$Q$6:$R$124,2,FALSE)</f>
        <v>Vidzemes statistiskais reģions</v>
      </c>
      <c r="B117" s="59" t="s">
        <v>113</v>
      </c>
      <c r="C117" s="65"/>
      <c r="D117" s="65">
        <v>4090</v>
      </c>
      <c r="E117" s="65">
        <v>4030</v>
      </c>
      <c r="F117" s="65">
        <v>3947</v>
      </c>
      <c r="G117" s="65">
        <v>3849</v>
      </c>
      <c r="H117" s="65">
        <v>3696</v>
      </c>
      <c r="I117" s="65">
        <v>3615</v>
      </c>
      <c r="J117" s="65">
        <v>3543</v>
      </c>
      <c r="K117" s="65">
        <v>3645</v>
      </c>
      <c r="L117" s="65">
        <v>3614</v>
      </c>
      <c r="M117" s="67">
        <v>2642</v>
      </c>
      <c r="P117" s="65">
        <f t="shared" si="7"/>
        <v>3614</v>
      </c>
      <c r="Q117" s="65">
        <f t="shared" si="10"/>
        <v>3506</v>
      </c>
      <c r="R117" s="65">
        <f t="shared" si="11"/>
        <v>3398</v>
      </c>
      <c r="S117" s="65">
        <f t="shared" si="11"/>
        <v>3290</v>
      </c>
      <c r="T117" s="65">
        <f t="shared" si="11"/>
        <v>3182</v>
      </c>
      <c r="U117" s="65">
        <f t="shared" si="11"/>
        <v>3074</v>
      </c>
      <c r="V117" s="65">
        <f t="shared" si="11"/>
        <v>2966</v>
      </c>
      <c r="W117" s="65">
        <f t="shared" si="11"/>
        <v>2858</v>
      </c>
      <c r="X117" s="65">
        <f t="shared" si="11"/>
        <v>2750</v>
      </c>
      <c r="Y117" s="60">
        <f t="shared" si="9"/>
        <v>2642</v>
      </c>
      <c r="Z117" s="52" t="s">
        <v>294</v>
      </c>
    </row>
    <row r="118" spans="1:26" x14ac:dyDescent="0.35">
      <c r="A118" s="60" t="str">
        <f>VLOOKUP(B118,IKP!$Q$6:$R$124,2,FALSE)</f>
        <v>Zemgales statistiskais reģions</v>
      </c>
      <c r="B118" s="59" t="s">
        <v>114</v>
      </c>
      <c r="C118" s="65"/>
      <c r="D118" s="65">
        <v>8636</v>
      </c>
      <c r="E118" s="65">
        <v>8486</v>
      </c>
      <c r="F118" s="65">
        <v>8375</v>
      </c>
      <c r="G118" s="65">
        <v>8263</v>
      </c>
      <c r="H118" s="65">
        <v>7999</v>
      </c>
      <c r="I118" s="65">
        <v>7893</v>
      </c>
      <c r="J118" s="65">
        <v>7807</v>
      </c>
      <c r="K118" s="65">
        <v>7848</v>
      </c>
      <c r="L118" s="65">
        <v>7795</v>
      </c>
      <c r="M118" s="67">
        <v>6488</v>
      </c>
      <c r="P118" s="65">
        <f t="shared" si="7"/>
        <v>7795</v>
      </c>
      <c r="Q118" s="65">
        <f t="shared" si="10"/>
        <v>7650</v>
      </c>
      <c r="R118" s="65">
        <f t="shared" si="11"/>
        <v>7505</v>
      </c>
      <c r="S118" s="65">
        <f t="shared" si="11"/>
        <v>7359</v>
      </c>
      <c r="T118" s="65">
        <f t="shared" si="11"/>
        <v>7214</v>
      </c>
      <c r="U118" s="65">
        <f t="shared" si="11"/>
        <v>7069</v>
      </c>
      <c r="V118" s="65">
        <f t="shared" si="11"/>
        <v>6924</v>
      </c>
      <c r="W118" s="65">
        <f t="shared" si="11"/>
        <v>6778</v>
      </c>
      <c r="X118" s="65">
        <f t="shared" si="11"/>
        <v>6633</v>
      </c>
      <c r="Y118" s="60">
        <f t="shared" si="9"/>
        <v>6488</v>
      </c>
      <c r="Z118" s="52" t="s">
        <v>295</v>
      </c>
    </row>
    <row r="119" spans="1:26" x14ac:dyDescent="0.35">
      <c r="A119" s="60" t="str">
        <f>VLOOKUP(B119,IKP!$Q$6:$R$124,2,FALSE)</f>
        <v>Kurzemes statistiskais reģions</v>
      </c>
      <c r="B119" s="59" t="s">
        <v>115</v>
      </c>
      <c r="C119" s="65"/>
      <c r="D119" s="65">
        <v>12088</v>
      </c>
      <c r="E119" s="65">
        <v>11859</v>
      </c>
      <c r="F119" s="65">
        <v>11697</v>
      </c>
      <c r="G119" s="65">
        <v>11450</v>
      </c>
      <c r="H119" s="65">
        <v>11252</v>
      </c>
      <c r="I119" s="65">
        <v>11061</v>
      </c>
      <c r="J119" s="65">
        <v>10925</v>
      </c>
      <c r="K119" s="65">
        <v>10936</v>
      </c>
      <c r="L119" s="65">
        <v>10777</v>
      </c>
      <c r="M119" s="67">
        <v>9272</v>
      </c>
      <c r="P119" s="65">
        <f t="shared" si="7"/>
        <v>10777</v>
      </c>
      <c r="Q119" s="65">
        <f t="shared" si="10"/>
        <v>10610</v>
      </c>
      <c r="R119" s="65">
        <f t="shared" si="11"/>
        <v>10443</v>
      </c>
      <c r="S119" s="65">
        <f t="shared" si="11"/>
        <v>10275</v>
      </c>
      <c r="T119" s="65">
        <f t="shared" si="11"/>
        <v>10108</v>
      </c>
      <c r="U119" s="65">
        <f t="shared" si="11"/>
        <v>9941</v>
      </c>
      <c r="V119" s="65">
        <f t="shared" si="11"/>
        <v>9774</v>
      </c>
      <c r="W119" s="65">
        <f t="shared" si="11"/>
        <v>9606</v>
      </c>
      <c r="X119" s="65">
        <f t="shared" si="11"/>
        <v>9439</v>
      </c>
      <c r="Y119" s="60">
        <f t="shared" si="9"/>
        <v>9272</v>
      </c>
      <c r="Z119" s="52" t="s">
        <v>293</v>
      </c>
    </row>
    <row r="120" spans="1:26" x14ac:dyDescent="0.35">
      <c r="A120" s="60" t="str">
        <f>VLOOKUP(B120,IKP!$Q$6:$R$124,2,FALSE)</f>
        <v>Zemgales statistiskais reģions</v>
      </c>
      <c r="B120" s="59" t="s">
        <v>116</v>
      </c>
      <c r="C120" s="65"/>
      <c r="D120" s="65">
        <v>4013</v>
      </c>
      <c r="E120" s="65">
        <v>3965</v>
      </c>
      <c r="F120" s="65">
        <v>3886</v>
      </c>
      <c r="G120" s="65">
        <v>3815</v>
      </c>
      <c r="H120" s="65">
        <v>3701</v>
      </c>
      <c r="I120" s="65">
        <v>3619</v>
      </c>
      <c r="J120" s="65">
        <v>3567</v>
      </c>
      <c r="K120" s="65">
        <v>3574</v>
      </c>
      <c r="L120" s="65">
        <v>3535</v>
      </c>
      <c r="M120" s="67">
        <v>2780</v>
      </c>
      <c r="P120" s="65">
        <f t="shared" si="7"/>
        <v>3535</v>
      </c>
      <c r="Q120" s="65">
        <f t="shared" si="10"/>
        <v>3451</v>
      </c>
      <c r="R120" s="65">
        <f t="shared" si="11"/>
        <v>3367</v>
      </c>
      <c r="S120" s="65">
        <f t="shared" si="11"/>
        <v>3283</v>
      </c>
      <c r="T120" s="65">
        <f t="shared" si="11"/>
        <v>3199</v>
      </c>
      <c r="U120" s="65">
        <f t="shared" si="11"/>
        <v>3116</v>
      </c>
      <c r="V120" s="65">
        <f t="shared" si="11"/>
        <v>3032</v>
      </c>
      <c r="W120" s="65">
        <f t="shared" si="11"/>
        <v>2948</v>
      </c>
      <c r="X120" s="65">
        <f t="shared" si="11"/>
        <v>2864</v>
      </c>
      <c r="Y120" s="60">
        <f t="shared" si="9"/>
        <v>2780</v>
      </c>
      <c r="Z120" s="52" t="s">
        <v>295</v>
      </c>
    </row>
    <row r="121" spans="1:26" x14ac:dyDescent="0.35">
      <c r="A121" s="60" t="str">
        <f>VLOOKUP(B121,IKP!$Q$6:$R$124,2,FALSE)</f>
        <v>Latgales statistiskais reģions</v>
      </c>
      <c r="B121" s="59" t="s">
        <v>117</v>
      </c>
      <c r="C121" s="65"/>
      <c r="D121" s="65">
        <v>5451</v>
      </c>
      <c r="E121" s="65">
        <v>5314</v>
      </c>
      <c r="F121" s="65">
        <v>5160</v>
      </c>
      <c r="G121" s="65">
        <v>5015</v>
      </c>
      <c r="H121" s="65">
        <v>4873</v>
      </c>
      <c r="I121" s="65">
        <v>4733</v>
      </c>
      <c r="J121" s="65">
        <v>4596</v>
      </c>
      <c r="K121" s="65">
        <v>4551</v>
      </c>
      <c r="L121" s="65">
        <v>4476</v>
      </c>
      <c r="M121" s="67">
        <v>3359</v>
      </c>
      <c r="P121" s="65">
        <f t="shared" si="7"/>
        <v>4476</v>
      </c>
      <c r="Q121" s="65">
        <f t="shared" si="10"/>
        <v>4352</v>
      </c>
      <c r="R121" s="65">
        <f t="shared" si="11"/>
        <v>4228</v>
      </c>
      <c r="S121" s="65">
        <f t="shared" si="11"/>
        <v>4104</v>
      </c>
      <c r="T121" s="65">
        <f t="shared" si="11"/>
        <v>3980</v>
      </c>
      <c r="U121" s="65">
        <f t="shared" si="11"/>
        <v>3855</v>
      </c>
      <c r="V121" s="65">
        <f t="shared" si="11"/>
        <v>3731</v>
      </c>
      <c r="W121" s="65">
        <f t="shared" si="11"/>
        <v>3607</v>
      </c>
      <c r="X121" s="65">
        <f t="shared" si="11"/>
        <v>3483</v>
      </c>
      <c r="Y121" s="60">
        <f t="shared" si="9"/>
        <v>3359</v>
      </c>
      <c r="Z121" s="52" t="s">
        <v>296</v>
      </c>
    </row>
    <row r="122" spans="1:26" x14ac:dyDescent="0.35">
      <c r="A122" s="60" t="str">
        <f>VLOOKUP(B122,IKP!$Q$6:$R$124,2,FALSE)</f>
        <v>Latgales statistiskais reģions</v>
      </c>
      <c r="B122" s="59" t="s">
        <v>118</v>
      </c>
      <c r="C122" s="65"/>
      <c r="D122" s="65">
        <v>6256</v>
      </c>
      <c r="E122" s="65">
        <v>6113</v>
      </c>
      <c r="F122" s="65">
        <v>6026</v>
      </c>
      <c r="G122" s="65">
        <v>5904</v>
      </c>
      <c r="H122" s="65">
        <v>5779</v>
      </c>
      <c r="I122" s="65">
        <v>5659</v>
      </c>
      <c r="J122" s="65">
        <v>5522</v>
      </c>
      <c r="K122" s="65">
        <v>5506</v>
      </c>
      <c r="L122" s="65">
        <v>5399</v>
      </c>
      <c r="M122" s="67">
        <v>4441</v>
      </c>
      <c r="P122" s="65">
        <f t="shared" si="7"/>
        <v>5399</v>
      </c>
      <c r="Q122" s="65">
        <f t="shared" si="10"/>
        <v>5293</v>
      </c>
      <c r="R122" s="65">
        <f t="shared" si="11"/>
        <v>5186</v>
      </c>
      <c r="S122" s="65">
        <f t="shared" si="11"/>
        <v>5080</v>
      </c>
      <c r="T122" s="65">
        <f t="shared" si="11"/>
        <v>4973</v>
      </c>
      <c r="U122" s="65">
        <f t="shared" si="11"/>
        <v>4867</v>
      </c>
      <c r="V122" s="65">
        <f t="shared" si="11"/>
        <v>4760</v>
      </c>
      <c r="W122" s="65">
        <f t="shared" si="11"/>
        <v>4654</v>
      </c>
      <c r="X122" s="65">
        <f t="shared" si="11"/>
        <v>4547</v>
      </c>
      <c r="Y122" s="60">
        <f t="shared" si="9"/>
        <v>4441</v>
      </c>
      <c r="Z122" s="52" t="s">
        <v>296</v>
      </c>
    </row>
    <row r="123" spans="1:26" x14ac:dyDescent="0.35">
      <c r="A123" s="60" t="str">
        <f>VLOOKUP(B123,IKP!$Q$6:$R$124,2,FALSE)</f>
        <v>Latgales statistiskais reģions</v>
      </c>
      <c r="B123" s="59" t="s">
        <v>119</v>
      </c>
      <c r="C123" s="65"/>
      <c r="D123" s="65">
        <v>3257</v>
      </c>
      <c r="E123" s="65">
        <v>3167</v>
      </c>
      <c r="F123" s="65">
        <v>3080</v>
      </c>
      <c r="G123" s="65">
        <v>2989</v>
      </c>
      <c r="H123" s="65">
        <v>2849</v>
      </c>
      <c r="I123" s="65">
        <v>2766</v>
      </c>
      <c r="J123" s="65">
        <v>2647</v>
      </c>
      <c r="K123" s="65">
        <v>2621</v>
      </c>
      <c r="L123" s="65">
        <v>2549</v>
      </c>
      <c r="M123" s="67">
        <v>1922</v>
      </c>
      <c r="P123" s="65">
        <f t="shared" si="7"/>
        <v>2549</v>
      </c>
      <c r="Q123" s="65">
        <f t="shared" si="10"/>
        <v>2479</v>
      </c>
      <c r="R123" s="65">
        <f t="shared" si="11"/>
        <v>2410</v>
      </c>
      <c r="S123" s="65">
        <f t="shared" si="11"/>
        <v>2340</v>
      </c>
      <c r="T123" s="65">
        <f t="shared" si="11"/>
        <v>2270</v>
      </c>
      <c r="U123" s="65">
        <f t="shared" si="11"/>
        <v>2201</v>
      </c>
      <c r="V123" s="65">
        <f t="shared" si="11"/>
        <v>2131</v>
      </c>
      <c r="W123" s="65">
        <f t="shared" si="11"/>
        <v>2061</v>
      </c>
      <c r="X123" s="65">
        <f t="shared" si="11"/>
        <v>1992</v>
      </c>
      <c r="Y123" s="60">
        <f t="shared" si="9"/>
        <v>1922</v>
      </c>
      <c r="Z123" s="52" t="s">
        <v>296</v>
      </c>
    </row>
    <row r="124" spans="1:26" x14ac:dyDescent="0.35">
      <c r="P124" s="54"/>
      <c r="Q124" s="54"/>
    </row>
    <row r="125" spans="1:26" x14ac:dyDescent="0.35">
      <c r="A125" s="55" t="s">
        <v>277</v>
      </c>
    </row>
    <row r="126" spans="1:26" x14ac:dyDescent="0.35">
      <c r="A126" s="55" t="s">
        <v>276</v>
      </c>
    </row>
    <row r="127" spans="1:26" x14ac:dyDescent="0.35">
      <c r="A127" s="55" t="s">
        <v>275</v>
      </c>
    </row>
    <row r="128" spans="1:26" x14ac:dyDescent="0.35">
      <c r="A128" s="55" t="s">
        <v>274</v>
      </c>
    </row>
    <row r="129" spans="1:1" x14ac:dyDescent="0.35">
      <c r="A129" s="55" t="s">
        <v>273</v>
      </c>
    </row>
    <row r="130" spans="1:1" x14ac:dyDescent="0.35">
      <c r="A130" s="55" t="s">
        <v>272</v>
      </c>
    </row>
    <row r="131" spans="1:1" x14ac:dyDescent="0.35">
      <c r="A131" s="55" t="s">
        <v>271</v>
      </c>
    </row>
    <row r="132" spans="1:1" x14ac:dyDescent="0.35">
      <c r="A132" s="55" t="s">
        <v>270</v>
      </c>
    </row>
    <row r="174" spans="1:3" x14ac:dyDescent="0.35">
      <c r="A174" s="4"/>
      <c r="B174" s="4"/>
      <c r="C174" s="4"/>
    </row>
    <row r="175" spans="1:3" x14ac:dyDescent="0.35">
      <c r="A175" s="4"/>
      <c r="B175" s="4"/>
      <c r="C175" s="4"/>
    </row>
  </sheetData>
  <sheetProtection algorithmName="SHA-512" hashValue="GR1oCxRWL8oqlVX99t1Mvsw6jGRLxwFHlaMigfyjOglmnGCayNScG6WM7KxenM4vHWCkoiIV1tWgubxZRFfDOA==" saltValue="SoEnc5Wqa/WrCs1D03XH+Q==" spinCount="100000" sheet="1" objects="1" scenarios="1"/>
  <mergeCells count="2">
    <mergeCell ref="Q2:X2"/>
    <mergeCell ref="D2:L2"/>
  </mergeCells>
  <pageMargins left="0.75" right="0.75" top="0.75" bottom="0.5" header="0.5" footer="0.75"/>
  <pageSetup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E50ED-D8FC-4599-9653-8BD78D502405}">
  <dimension ref="A1:G11"/>
  <sheetViews>
    <sheetView zoomScale="85" zoomScaleNormal="85" workbookViewId="0"/>
  </sheetViews>
  <sheetFormatPr defaultColWidth="8.90625" defaultRowHeight="15" customHeight="1" x14ac:dyDescent="0.35"/>
  <cols>
    <col min="1" max="1" width="22.36328125" style="68" bestFit="1" customWidth="1"/>
    <col min="2" max="2" width="19.54296875" style="68" bestFit="1" customWidth="1"/>
    <col min="3" max="3" width="20.453125" style="68" bestFit="1" customWidth="1"/>
    <col min="4" max="4" width="20.6328125" style="68" bestFit="1" customWidth="1"/>
    <col min="5" max="5" width="27.36328125" style="68" bestFit="1" customWidth="1"/>
    <col min="6" max="6" width="8" style="68" bestFit="1" customWidth="1"/>
    <col min="7" max="7" width="20.90625" style="68" customWidth="1"/>
    <col min="8" max="16384" width="8.90625" style="68"/>
  </cols>
  <sheetData>
    <row r="1" spans="1:7" ht="25.25" customHeight="1" x14ac:dyDescent="0.6">
      <c r="A1" s="40" t="s">
        <v>385</v>
      </c>
    </row>
    <row r="2" spans="1:7" ht="14.4" customHeight="1" x14ac:dyDescent="0.35">
      <c r="A2" s="76" t="s">
        <v>386</v>
      </c>
    </row>
    <row r="3" spans="1:7" ht="31.75" customHeight="1" x14ac:dyDescent="0.35">
      <c r="A3" s="75" t="s">
        <v>133</v>
      </c>
      <c r="B3" s="75" t="s">
        <v>132</v>
      </c>
      <c r="C3" s="75" t="s">
        <v>131</v>
      </c>
      <c r="D3" s="75" t="s">
        <v>130</v>
      </c>
      <c r="E3" s="75" t="s">
        <v>129</v>
      </c>
      <c r="F3" s="75" t="s">
        <v>128</v>
      </c>
      <c r="G3" s="2" t="s">
        <v>384</v>
      </c>
    </row>
    <row r="4" spans="1:7" ht="15" customHeight="1" x14ac:dyDescent="0.35">
      <c r="A4" s="214" t="s">
        <v>387</v>
      </c>
      <c r="B4" s="214"/>
      <c r="C4" s="214"/>
      <c r="D4" s="214"/>
      <c r="E4" s="214"/>
      <c r="F4" s="214"/>
      <c r="G4" s="69"/>
    </row>
    <row r="5" spans="1:7" ht="15" customHeight="1" x14ac:dyDescent="0.35">
      <c r="A5" s="70" t="s">
        <v>121</v>
      </c>
      <c r="B5" s="71">
        <v>59</v>
      </c>
      <c r="C5" s="71">
        <v>24010</v>
      </c>
      <c r="D5" s="71">
        <v>1</v>
      </c>
      <c r="E5" s="71">
        <v>1337</v>
      </c>
      <c r="F5" s="71">
        <v>25407</v>
      </c>
      <c r="G5" s="72">
        <f>F5/$F$11</f>
        <v>3.7022788971414332E-2</v>
      </c>
    </row>
    <row r="6" spans="1:7" ht="15" customHeight="1" x14ac:dyDescent="0.35">
      <c r="A6" s="70" t="s">
        <v>122</v>
      </c>
      <c r="B6" s="71">
        <v>55</v>
      </c>
      <c r="C6" s="71">
        <v>121812</v>
      </c>
      <c r="D6" s="71">
        <v>54</v>
      </c>
      <c r="E6" s="71">
        <v>3409</v>
      </c>
      <c r="F6" s="71">
        <v>125330</v>
      </c>
      <c r="G6" s="72">
        <f t="shared" ref="G6:G10" si="0">F6/$F$11</f>
        <v>0.18262943841411258</v>
      </c>
    </row>
    <row r="7" spans="1:7" ht="15" customHeight="1" x14ac:dyDescent="0.35">
      <c r="A7" s="70" t="s">
        <v>123</v>
      </c>
      <c r="B7" s="71">
        <v>123</v>
      </c>
      <c r="C7" s="71">
        <v>173338</v>
      </c>
      <c r="D7" s="71">
        <v>22</v>
      </c>
      <c r="E7" s="71">
        <v>6409</v>
      </c>
      <c r="F7" s="71">
        <v>179892</v>
      </c>
      <c r="G7" s="72">
        <f t="shared" si="0"/>
        <v>0.26213655896586247</v>
      </c>
    </row>
    <row r="8" spans="1:7" ht="15" customHeight="1" x14ac:dyDescent="0.35">
      <c r="A8" s="70" t="s">
        <v>124</v>
      </c>
      <c r="B8" s="71">
        <v>75</v>
      </c>
      <c r="C8" s="71">
        <v>172383</v>
      </c>
      <c r="D8" s="71">
        <v>308</v>
      </c>
      <c r="E8" s="71">
        <v>4051</v>
      </c>
      <c r="F8" s="71">
        <v>176817</v>
      </c>
      <c r="G8" s="72">
        <f t="shared" si="0"/>
        <v>0.25765570423735851</v>
      </c>
    </row>
    <row r="9" spans="1:7" ht="15" customHeight="1" x14ac:dyDescent="0.35">
      <c r="A9" s="70" t="s">
        <v>125</v>
      </c>
      <c r="B9" s="71">
        <v>40</v>
      </c>
      <c r="C9" s="71">
        <v>98036</v>
      </c>
      <c r="D9" s="71">
        <v>4</v>
      </c>
      <c r="E9" s="71">
        <v>2551</v>
      </c>
      <c r="F9" s="71">
        <v>100631</v>
      </c>
      <c r="G9" s="72">
        <f t="shared" si="0"/>
        <v>0.14663833892165135</v>
      </c>
    </row>
    <row r="10" spans="1:7" ht="15" customHeight="1" x14ac:dyDescent="0.35">
      <c r="A10" s="70" t="s">
        <v>126</v>
      </c>
      <c r="B10" s="71">
        <v>59</v>
      </c>
      <c r="C10" s="71">
        <v>75844</v>
      </c>
      <c r="D10" s="71">
        <v>4</v>
      </c>
      <c r="E10" s="71">
        <v>2269</v>
      </c>
      <c r="F10" s="71">
        <v>78176</v>
      </c>
      <c r="G10" s="72">
        <f t="shared" si="0"/>
        <v>0.11391717048960077</v>
      </c>
    </row>
    <row r="11" spans="1:7" ht="15" customHeight="1" x14ac:dyDescent="0.35">
      <c r="A11" s="73" t="s">
        <v>127</v>
      </c>
      <c r="B11" s="74">
        <v>411</v>
      </c>
      <c r="C11" s="74">
        <v>665423</v>
      </c>
      <c r="D11" s="74">
        <v>393</v>
      </c>
      <c r="E11" s="74">
        <v>20026</v>
      </c>
      <c r="F11" s="74">
        <v>686253</v>
      </c>
      <c r="G11" s="69"/>
    </row>
  </sheetData>
  <sheetProtection algorithmName="SHA-512" hashValue="tcxAYTWiPOT0CTVi4ngTMSTHHOpP6FjxBaKiRoshpXrjckc+b5TSUJv64hJu+ME+8Tgb9dZRJxaUTHb2bw1jCQ==" saltValue="xgVWGFlR7KW4Py05H24VHQ==" spinCount="100000" sheet="1" objects="1" scenarios="1"/>
  <mergeCells count="1">
    <mergeCell ref="A4:F4"/>
  </mergeCells>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F71B1-0185-406A-A494-28AF6E2C9F95}">
  <dimension ref="A1:AD257"/>
  <sheetViews>
    <sheetView zoomScale="85" zoomScaleNormal="85" workbookViewId="0">
      <selection activeCell="M70" sqref="M70"/>
    </sheetView>
  </sheetViews>
  <sheetFormatPr defaultColWidth="8.90625" defaultRowHeight="14.5" x14ac:dyDescent="0.35"/>
  <cols>
    <col min="1" max="1" width="30.81640625" style="4" customWidth="1"/>
    <col min="2" max="2" width="9.90625" style="4" bestFit="1" customWidth="1"/>
    <col min="3" max="3" width="10.81640625" style="4" bestFit="1" customWidth="1"/>
    <col min="4" max="7" width="9.90625" style="4" bestFit="1" customWidth="1"/>
    <col min="8" max="8" width="12" style="4" bestFit="1" customWidth="1"/>
    <col min="9" max="9" width="10" style="4" bestFit="1" customWidth="1"/>
    <col min="10" max="10" width="12.36328125" style="4" bestFit="1" customWidth="1"/>
    <col min="11" max="12" width="10.81640625" style="4" bestFit="1" customWidth="1"/>
    <col min="13" max="13" width="12.453125" style="4" customWidth="1"/>
    <col min="14" max="14" width="27.36328125" style="4" customWidth="1"/>
    <col min="15" max="15" width="45.54296875" style="4" customWidth="1"/>
    <col min="16" max="16" width="6.90625" style="4" customWidth="1"/>
    <col min="17" max="17" width="23.36328125" style="4" customWidth="1"/>
    <col min="18" max="18" width="30.81640625" style="4" customWidth="1"/>
    <col min="19" max="29" width="11.54296875" style="4" customWidth="1"/>
    <col min="30" max="30" width="13.453125" style="4" customWidth="1"/>
    <col min="31" max="16384" width="8.90625" style="4"/>
  </cols>
  <sheetData>
    <row r="1" spans="1:30" ht="26" x14ac:dyDescent="0.6">
      <c r="A1" s="58" t="s">
        <v>412</v>
      </c>
      <c r="Q1" s="58" t="s">
        <v>413</v>
      </c>
      <c r="R1" s="77"/>
      <c r="T1" s="78"/>
      <c r="U1" s="78"/>
      <c r="V1" s="78"/>
      <c r="W1" s="78"/>
      <c r="X1" s="78"/>
      <c r="Y1" s="78"/>
      <c r="Z1" s="78"/>
      <c r="AB1" s="41"/>
      <c r="AC1" s="41"/>
      <c r="AD1" s="41"/>
    </row>
    <row r="2" spans="1:30" x14ac:dyDescent="0.35">
      <c r="Q2" s="217" t="s">
        <v>357</v>
      </c>
      <c r="R2" s="217" t="s">
        <v>314</v>
      </c>
      <c r="S2" s="222" t="s">
        <v>388</v>
      </c>
      <c r="T2" s="222"/>
      <c r="U2" s="222"/>
      <c r="V2" s="222"/>
      <c r="W2" s="222"/>
      <c r="X2" s="222"/>
      <c r="Y2" s="222"/>
      <c r="Z2" s="222"/>
      <c r="AA2" s="222"/>
      <c r="AB2" s="222"/>
      <c r="AC2" s="222"/>
      <c r="AD2" s="79"/>
    </row>
    <row r="3" spans="1:30" x14ac:dyDescent="0.35">
      <c r="A3" s="216" t="s">
        <v>278</v>
      </c>
      <c r="B3" s="216" t="s">
        <v>401</v>
      </c>
      <c r="C3" s="216"/>
      <c r="D3" s="216"/>
      <c r="E3" s="216"/>
      <c r="F3" s="216"/>
      <c r="G3" s="216"/>
      <c r="H3" s="216"/>
      <c r="I3" s="216"/>
      <c r="J3" s="216" t="s">
        <v>290</v>
      </c>
      <c r="K3" s="216"/>
      <c r="L3" s="216"/>
      <c r="M3" s="165" t="s">
        <v>484</v>
      </c>
      <c r="N3" s="207" t="s">
        <v>142</v>
      </c>
      <c r="O3" s="217" t="s">
        <v>402</v>
      </c>
      <c r="Q3" s="221"/>
      <c r="R3" s="221"/>
      <c r="S3" s="223" t="s">
        <v>389</v>
      </c>
      <c r="T3" s="223"/>
      <c r="U3" s="223"/>
      <c r="V3" s="223"/>
      <c r="W3" s="223"/>
      <c r="X3" s="223"/>
      <c r="Y3" s="224" t="s">
        <v>290</v>
      </c>
      <c r="Z3" s="224"/>
      <c r="AA3" s="224"/>
      <c r="AB3" s="224"/>
      <c r="AC3" s="224"/>
      <c r="AD3" s="80"/>
    </row>
    <row r="4" spans="1:30" x14ac:dyDescent="0.35">
      <c r="A4" s="216"/>
      <c r="B4" s="90">
        <v>2013</v>
      </c>
      <c r="C4" s="90">
        <v>2014</v>
      </c>
      <c r="D4" s="90">
        <v>2015</v>
      </c>
      <c r="E4" s="90">
        <v>2016</v>
      </c>
      <c r="F4" s="90">
        <v>2017</v>
      </c>
      <c r="G4" s="90">
        <v>2018</v>
      </c>
      <c r="H4" s="90">
        <v>2019</v>
      </c>
      <c r="I4" s="90">
        <v>2020</v>
      </c>
      <c r="J4" s="90">
        <v>2021</v>
      </c>
      <c r="K4" s="90">
        <v>2022</v>
      </c>
      <c r="L4" s="90">
        <v>2023</v>
      </c>
      <c r="M4" s="166">
        <v>2030</v>
      </c>
      <c r="N4" s="207"/>
      <c r="O4" s="218"/>
      <c r="Q4" s="218"/>
      <c r="R4" s="218"/>
      <c r="S4" s="86" t="s">
        <v>288</v>
      </c>
      <c r="T4" s="86" t="s">
        <v>287</v>
      </c>
      <c r="U4" s="86" t="s">
        <v>286</v>
      </c>
      <c r="V4" s="86" t="s">
        <v>285</v>
      </c>
      <c r="W4" s="86" t="s">
        <v>284</v>
      </c>
      <c r="X4" s="86" t="s">
        <v>283</v>
      </c>
      <c r="Y4" s="86" t="s">
        <v>282</v>
      </c>
      <c r="Z4" s="86" t="s">
        <v>281</v>
      </c>
      <c r="AA4" s="86" t="s">
        <v>280</v>
      </c>
      <c r="AB4" s="86" t="s">
        <v>301</v>
      </c>
      <c r="AC4" s="86" t="s">
        <v>302</v>
      </c>
      <c r="AD4" s="164">
        <v>2030</v>
      </c>
    </row>
    <row r="5" spans="1:30" x14ac:dyDescent="0.35">
      <c r="A5" s="19" t="s">
        <v>397</v>
      </c>
      <c r="B5" s="85">
        <v>22749010</v>
      </c>
      <c r="C5" s="85">
        <v>23625802</v>
      </c>
      <c r="D5" s="85">
        <v>24572126</v>
      </c>
      <c r="E5" s="85">
        <v>25371324</v>
      </c>
      <c r="F5" s="85">
        <v>26984433</v>
      </c>
      <c r="G5" s="85">
        <v>29153556</v>
      </c>
      <c r="H5" s="85">
        <v>30647222</v>
      </c>
      <c r="I5" s="85">
        <v>29510975</v>
      </c>
      <c r="J5" s="91">
        <f>I5*(1+J9)</f>
        <v>31075056.674999997</v>
      </c>
      <c r="K5" s="91">
        <f>J5*(1+K9)</f>
        <v>32659884.565424994</v>
      </c>
      <c r="L5" s="91">
        <f>K5*(1+L9)</f>
        <v>33900960.178911142</v>
      </c>
      <c r="M5" s="167">
        <f>L5*(1+M$9*(M$4-L$4))</f>
        <v>41020161.816482484</v>
      </c>
      <c r="N5" s="3" t="s">
        <v>393</v>
      </c>
      <c r="O5" s="9" t="s">
        <v>300</v>
      </c>
      <c r="P5" s="4" t="s">
        <v>411</v>
      </c>
      <c r="Q5" s="84" t="s">
        <v>278</v>
      </c>
      <c r="R5" s="84" t="s">
        <v>278</v>
      </c>
      <c r="S5" s="85">
        <f t="shared" ref="S5:AD5" si="0">B7</f>
        <v>22923701</v>
      </c>
      <c r="T5" s="85">
        <f t="shared" si="0"/>
        <v>23613907</v>
      </c>
      <c r="U5" s="85">
        <f t="shared" si="0"/>
        <v>24560878</v>
      </c>
      <c r="V5" s="85">
        <f t="shared" si="0"/>
        <v>25361173</v>
      </c>
      <c r="W5" s="85">
        <f t="shared" si="0"/>
        <v>26962896</v>
      </c>
      <c r="X5" s="85">
        <f t="shared" si="0"/>
        <v>29142539</v>
      </c>
      <c r="Y5" s="99">
        <f t="shared" si="0"/>
        <v>30635640.550218232</v>
      </c>
      <c r="Z5" s="99">
        <f t="shared" si="0"/>
        <v>29499822.932939127</v>
      </c>
      <c r="AA5" s="91">
        <f t="shared" si="0"/>
        <v>31063313.548384897</v>
      </c>
      <c r="AB5" s="91">
        <f t="shared" si="0"/>
        <v>32647542.539352525</v>
      </c>
      <c r="AC5" s="162">
        <f t="shared" si="0"/>
        <v>33888149.155847922</v>
      </c>
      <c r="AD5" s="163">
        <f t="shared" si="0"/>
        <v>41004660.478575982</v>
      </c>
    </row>
    <row r="6" spans="1:30" x14ac:dyDescent="0.35">
      <c r="A6" s="19" t="s">
        <v>398</v>
      </c>
      <c r="B6" s="85">
        <v>22749010</v>
      </c>
      <c r="C6" s="85">
        <v>23625802</v>
      </c>
      <c r="D6" s="85">
        <v>24572126</v>
      </c>
      <c r="E6" s="85">
        <v>25371324</v>
      </c>
      <c r="F6" s="85">
        <v>26984433</v>
      </c>
      <c r="G6" s="85">
        <v>29153556</v>
      </c>
      <c r="H6" s="85">
        <v>30647222</v>
      </c>
      <c r="I6" s="85">
        <v>29510975</v>
      </c>
      <c r="J6" s="91">
        <f>I6*(1+J9)</f>
        <v>31075056.674999997</v>
      </c>
      <c r="K6" s="91">
        <f>J6*(1+K9)</f>
        <v>32659884.565424994</v>
      </c>
      <c r="L6" s="91">
        <f>K6*(1+L9)</f>
        <v>33900960.178911142</v>
      </c>
      <c r="M6" s="167">
        <f t="shared" ref="M6:M7" si="1">L6*(1+M$9*(M$4-L$4))</f>
        <v>41020161.816482484</v>
      </c>
      <c r="N6" s="3" t="s">
        <v>394</v>
      </c>
      <c r="O6" s="9" t="s">
        <v>298</v>
      </c>
      <c r="P6" s="4" t="s">
        <v>411</v>
      </c>
      <c r="Q6" s="3" t="s">
        <v>1</v>
      </c>
      <c r="R6" s="3" t="s">
        <v>291</v>
      </c>
      <c r="S6" s="85">
        <f>VLOOKUP($Q6,$A$20:$L$28,2,FALSE)</f>
        <v>12285806</v>
      </c>
      <c r="T6" s="85">
        <f>VLOOKUP($Q6,$A$20:$L$28,3,FALSE)</f>
        <v>12731959</v>
      </c>
      <c r="U6" s="85">
        <f>VLOOKUP($Q6,$A$20:$L$28,4,FALSE)</f>
        <v>13359444</v>
      </c>
      <c r="V6" s="85">
        <f>VLOOKUP($Q6,$A$20:$L$28,5,FALSE)</f>
        <v>13761872</v>
      </c>
      <c r="W6" s="85">
        <f>VLOOKUP($Q6,$A$20:$L$28,6,FALSE)</f>
        <v>14483156</v>
      </c>
      <c r="X6" s="85">
        <f>VLOOKUP($Q6,$A$20:$L$28,7,FALSE)</f>
        <v>16395470</v>
      </c>
      <c r="Y6" s="91">
        <f>VLOOKUP($Q6,$A$20:$L$28,8,FALSE)</f>
        <v>17235482.658936702</v>
      </c>
      <c r="Z6" s="91">
        <f>VLOOKUP($Q6,$A$20:$L$28,9,FALSE)</f>
        <v>16596476.439555094</v>
      </c>
      <c r="AA6" s="91">
        <f>VLOOKUP($Q6,$A$20:$L$28,10,FALSE)</f>
        <v>17476089.690851513</v>
      </c>
      <c r="AB6" s="91">
        <f>VLOOKUP($Q6,$A$20:$L$28,11,FALSE)</f>
        <v>18367370.265084941</v>
      </c>
      <c r="AC6" s="162">
        <f>VLOOKUP($Q6,$A$20:$L$28,12,FALSE)</f>
        <v>19065330.335158169</v>
      </c>
      <c r="AD6" s="163">
        <f>VLOOKUP($Q6,$A$20:$M$28,13,FALSE)</f>
        <v>23069049.705541383</v>
      </c>
    </row>
    <row r="7" spans="1:30" x14ac:dyDescent="0.35">
      <c r="A7" s="19" t="s">
        <v>399</v>
      </c>
      <c r="B7" s="85">
        <v>22923701</v>
      </c>
      <c r="C7" s="85">
        <v>23613907</v>
      </c>
      <c r="D7" s="85">
        <v>24560878</v>
      </c>
      <c r="E7" s="85">
        <v>25361173</v>
      </c>
      <c r="F7" s="85">
        <v>26962896</v>
      </c>
      <c r="G7" s="85">
        <v>29142539</v>
      </c>
      <c r="H7" s="85">
        <v>30635640.550218232</v>
      </c>
      <c r="I7" s="85">
        <v>29499822.932939127</v>
      </c>
      <c r="J7" s="91">
        <f>I7*(1+J9)</f>
        <v>31063313.548384897</v>
      </c>
      <c r="K7" s="91">
        <f>J7*(1+K9)</f>
        <v>32647542.539352525</v>
      </c>
      <c r="L7" s="91">
        <f>K7*(1+L9)</f>
        <v>33888149.155847922</v>
      </c>
      <c r="M7" s="167">
        <f t="shared" si="1"/>
        <v>41004660.478575982</v>
      </c>
      <c r="N7" s="3" t="s">
        <v>395</v>
      </c>
      <c r="O7" s="87" t="s">
        <v>297</v>
      </c>
      <c r="P7" s="4" t="s">
        <v>411</v>
      </c>
      <c r="Q7" s="3" t="s">
        <v>14</v>
      </c>
      <c r="R7" s="3" t="s">
        <v>292</v>
      </c>
      <c r="S7" s="85">
        <f>VLOOKUP($Q7,Iedz_sk!$B$14:$R$123,3,FALSE)*B$61</f>
        <v>50947.991324106588</v>
      </c>
      <c r="T7" s="85">
        <f>VLOOKUP($Q7,Iedz_sk!$B$14:$R$123,4,FALSE)*C$61</f>
        <v>49224.918282443708</v>
      </c>
      <c r="U7" s="85">
        <f>VLOOKUP($Q7,Iedz_sk!$B$14:$R$123,5,FALSE)*D$61</f>
        <v>51334.07031635756</v>
      </c>
      <c r="V7" s="85">
        <f>VLOOKUP($Q7,Iedz_sk!$B$14:$R$123,6,FALSE)*E$61</f>
        <v>53963.282613150877</v>
      </c>
      <c r="W7" s="85">
        <f>VLOOKUP($Q7,Iedz_sk!$B$14:$R$123,7,FALSE)*F$61</f>
        <v>58910.566796692248</v>
      </c>
      <c r="X7" s="85">
        <f>VLOOKUP($Q7,Iedz_sk!$B$14:$R$123,8,FALSE)*G$61</f>
        <v>58846.940944646798</v>
      </c>
      <c r="Y7" s="91">
        <f>VLOOKUP($Q7,Iedz_sk!$B$14:$R$123,9,FALSE)*H$61</f>
        <v>60615.985102516795</v>
      </c>
      <c r="Z7" s="91">
        <f>VLOOKUP($Q7,Iedz_sk!$B$14:$R$123,10,FALSE)*I$61</f>
        <v>57549.264056470049</v>
      </c>
      <c r="AA7" s="91">
        <f>VLOOKUP($Q7,Iedz_sk!$B$14:$R$123,11,FALSE)*J$61</f>
        <v>58638.501655615051</v>
      </c>
      <c r="AB7" s="91">
        <f>VLOOKUP($Q7,Iedz_sk!$B$14:$R$123,16,FALSE)*K$61</f>
        <v>60616.181628571212</v>
      </c>
      <c r="AC7" s="162">
        <f>VLOOKUP($Q7,Iedz_sk!$B$14:$R$123,17,FALSE)*L$61</f>
        <v>61875.937753305872</v>
      </c>
      <c r="AD7" s="163">
        <f>VLOOKUP($Q7,Iedz_sk!$B$14:$Y$123,24,FALSE)*M$61</f>
        <v>65720.129079877763</v>
      </c>
    </row>
    <row r="8" spans="1:30" x14ac:dyDescent="0.35">
      <c r="A8" s="19" t="s">
        <v>400</v>
      </c>
      <c r="B8" s="85">
        <v>11302</v>
      </c>
      <c r="C8" s="85">
        <v>11847</v>
      </c>
      <c r="D8" s="85">
        <v>12427</v>
      </c>
      <c r="E8" s="85">
        <v>12949</v>
      </c>
      <c r="F8" s="85">
        <v>13901</v>
      </c>
      <c r="G8" s="85">
        <v>15135</v>
      </c>
      <c r="H8" s="85">
        <v>16019</v>
      </c>
      <c r="I8" s="85">
        <v>15525</v>
      </c>
      <c r="J8" s="91">
        <f>J5/J10*1000</f>
        <v>16413.838557317333</v>
      </c>
      <c r="K8" s="91">
        <f>K5/K10*1000</f>
        <v>17405.386290851638</v>
      </c>
      <c r="L8" s="91">
        <f>L5/L10*1000</f>
        <v>18230.007882728522</v>
      </c>
      <c r="M8" s="167">
        <f>M5/M10*1000</f>
        <v>23547.360786670753</v>
      </c>
      <c r="N8" s="3" t="s">
        <v>396</v>
      </c>
      <c r="O8" s="9" t="s">
        <v>299</v>
      </c>
      <c r="P8" s="4" t="s">
        <v>411</v>
      </c>
      <c r="Q8" s="3" t="s">
        <v>20</v>
      </c>
      <c r="R8" s="3" t="s">
        <v>292</v>
      </c>
      <c r="S8" s="85">
        <f>VLOOKUP($Q8,Iedz_sk!$B$14:$R$123,3,FALSE)*B$61</f>
        <v>98935.372030572194</v>
      </c>
      <c r="T8" s="85">
        <f>VLOOKUP($Q8,Iedz_sk!$B$14:$R$123,4,FALSE)*C$61</f>
        <v>99049.668509366878</v>
      </c>
      <c r="U8" s="85">
        <f>VLOOKUP($Q8,Iedz_sk!$B$14:$R$123,5,FALSE)*D$61</f>
        <v>106918.60165490954</v>
      </c>
      <c r="V8" s="85">
        <f>VLOOKUP($Q8,Iedz_sk!$B$14:$R$123,6,FALSE)*E$61</f>
        <v>116160.68443869909</v>
      </c>
      <c r="W8" s="85">
        <f>VLOOKUP($Q8,Iedz_sk!$B$14:$R$123,7,FALSE)*F$61</f>
        <v>132164.04066091773</v>
      </c>
      <c r="X8" s="85">
        <f>VLOOKUP($Q8,Iedz_sk!$B$14:$R$123,8,FALSE)*G$61</f>
        <v>140629.09989848928</v>
      </c>
      <c r="Y8" s="91">
        <f>VLOOKUP($Q8,Iedz_sk!$B$14:$R$123,9,FALSE)*H$61</f>
        <v>149131.03375869736</v>
      </c>
      <c r="Z8" s="91">
        <f>VLOOKUP($Q8,Iedz_sk!$B$14:$R$123,10,FALSE)*I$61</f>
        <v>143755.00193747153</v>
      </c>
      <c r="AA8" s="91">
        <f>VLOOKUP($Q8,Iedz_sk!$B$14:$R$123,11,FALSE)*J$61</f>
        <v>153394.16893274165</v>
      </c>
      <c r="AB8" s="91">
        <f>VLOOKUP($Q8,Iedz_sk!$B$14:$R$123,16,FALSE)*K$61</f>
        <v>164820.75920711004</v>
      </c>
      <c r="AC8" s="162">
        <f>VLOOKUP($Q8,Iedz_sk!$B$14:$R$123,17,FALSE)*L$61</f>
        <v>174833.34586820166</v>
      </c>
      <c r="AD8" s="163">
        <f>VLOOKUP($Q8,Iedz_sk!$B$14:$Y$123,24,FALSE)*M$61</f>
        <v>244209.02427323113</v>
      </c>
    </row>
    <row r="9" spans="1:30" x14ac:dyDescent="0.35">
      <c r="A9" s="19" t="s">
        <v>303</v>
      </c>
      <c r="B9" s="93">
        <v>0</v>
      </c>
      <c r="C9" s="34">
        <f t="shared" ref="C9:I9" si="2">(C5-B5)/B5</f>
        <v>3.8541984903958458E-2</v>
      </c>
      <c r="D9" s="34">
        <f t="shared" si="2"/>
        <v>4.0054682588129706E-2</v>
      </c>
      <c r="E9" s="34">
        <f t="shared" si="2"/>
        <v>3.2524576831487843E-2</v>
      </c>
      <c r="F9" s="34">
        <f t="shared" si="2"/>
        <v>6.3580008674360075E-2</v>
      </c>
      <c r="G9" s="34">
        <f t="shared" si="2"/>
        <v>8.0384234866080012E-2</v>
      </c>
      <c r="H9" s="34">
        <f t="shared" si="2"/>
        <v>5.1234436032434605E-2</v>
      </c>
      <c r="I9" s="34">
        <f t="shared" si="2"/>
        <v>-3.7075040602374987E-2</v>
      </c>
      <c r="J9" s="3">
        <v>5.2999999999999999E-2</v>
      </c>
      <c r="K9" s="3">
        <v>5.0999999999999997E-2</v>
      </c>
      <c r="L9" s="3">
        <v>3.7999999999999999E-2</v>
      </c>
      <c r="M9" s="18">
        <f>0.03</f>
        <v>0.03</v>
      </c>
      <c r="N9" s="11" t="s">
        <v>304</v>
      </c>
      <c r="O9" s="88" t="s">
        <v>392</v>
      </c>
      <c r="P9" s="4" t="s">
        <v>411</v>
      </c>
      <c r="Q9" s="3" t="s">
        <v>21</v>
      </c>
      <c r="R9" s="3" t="s">
        <v>292</v>
      </c>
      <c r="S9" s="85">
        <f>VLOOKUP($Q9,Iedz_sk!$B$14:$R$123,3,FALSE)*B$61</f>
        <v>93278.841148523032</v>
      </c>
      <c r="T9" s="85">
        <f>VLOOKUP($Q9,Iedz_sk!$B$14:$R$123,4,FALSE)*C$61</f>
        <v>93167.445569955365</v>
      </c>
      <c r="U9" s="85">
        <f>VLOOKUP($Q9,Iedz_sk!$B$14:$R$123,5,FALSE)*D$61</f>
        <v>100614.77782006083</v>
      </c>
      <c r="V9" s="85">
        <f>VLOOKUP($Q9,Iedz_sk!$B$14:$R$123,6,FALSE)*E$61</f>
        <v>108445.33681206942</v>
      </c>
      <c r="W9" s="85">
        <f>VLOOKUP($Q9,Iedz_sk!$B$14:$R$123,7,FALSE)*F$61</f>
        <v>124580.15160203321</v>
      </c>
      <c r="X9" s="85">
        <f>VLOOKUP($Q9,Iedz_sk!$B$14:$R$123,8,FALSE)*G$61</f>
        <v>130142.27324296888</v>
      </c>
      <c r="Y9" s="91">
        <f>VLOOKUP($Q9,Iedz_sk!$B$14:$R$123,9,FALSE)*H$61</f>
        <v>140136.82603398268</v>
      </c>
      <c r="Z9" s="91">
        <f>VLOOKUP($Q9,Iedz_sk!$B$14:$R$123,10,FALSE)*I$61</f>
        <v>136566.00807003267</v>
      </c>
      <c r="AA9" s="91">
        <f>VLOOKUP($Q9,Iedz_sk!$B$14:$R$123,11,FALSE)*J$61</f>
        <v>145908.67878776602</v>
      </c>
      <c r="AB9" s="91">
        <f>VLOOKUP($Q9,Iedz_sk!$B$14:$R$123,16,FALSE)*K$61</f>
        <v>155260.58074177356</v>
      </c>
      <c r="AC9" s="162">
        <f>VLOOKUP($Q9,Iedz_sk!$B$14:$R$123,17,FALSE)*L$61</f>
        <v>163155.95370302079</v>
      </c>
      <c r="AD9" s="163">
        <f>VLOOKUP($Q9,Iedz_sk!$B$14:$Y$123,24,FALSE)*M$61</f>
        <v>214757.38776249523</v>
      </c>
    </row>
    <row r="10" spans="1:30" x14ac:dyDescent="0.35">
      <c r="A10" s="19" t="s">
        <v>391</v>
      </c>
      <c r="B10" s="89">
        <f>Iedz_sk!D4</f>
        <v>2023825</v>
      </c>
      <c r="C10" s="89">
        <f>Iedz_sk!E4</f>
        <v>2001468</v>
      </c>
      <c r="D10" s="89">
        <f>Iedz_sk!F4</f>
        <v>1986096</v>
      </c>
      <c r="E10" s="89">
        <f>Iedz_sk!G4</f>
        <v>1968957</v>
      </c>
      <c r="F10" s="89">
        <f>Iedz_sk!H4</f>
        <v>1950116</v>
      </c>
      <c r="G10" s="89">
        <f>Iedz_sk!I4</f>
        <v>1934379</v>
      </c>
      <c r="H10" s="89">
        <f>Iedz_sk!J4</f>
        <v>1919968</v>
      </c>
      <c r="I10" s="89">
        <f>Iedz_sk!K4</f>
        <v>1907675</v>
      </c>
      <c r="J10" s="92">
        <f>Iedz_sk!L4</f>
        <v>1893223</v>
      </c>
      <c r="K10" s="92">
        <f>Iedz_sk!Q4</f>
        <v>1876424</v>
      </c>
      <c r="L10" s="92">
        <f>Iedz_sk!R4</f>
        <v>1859624</v>
      </c>
      <c r="M10" s="168">
        <f>Iedz_sk!Y4</f>
        <v>1742028</v>
      </c>
      <c r="N10" s="3" t="s">
        <v>403</v>
      </c>
      <c r="O10" s="9" t="s">
        <v>120</v>
      </c>
      <c r="P10" s="81" t="s">
        <v>411</v>
      </c>
      <c r="Q10" s="3" t="s">
        <v>22</v>
      </c>
      <c r="R10" s="3" t="s">
        <v>292</v>
      </c>
      <c r="S10" s="85">
        <f>VLOOKUP($Q10,Iedz_sk!$B$14:$R$123,3,FALSE)*B$61</f>
        <v>53653.714934930795</v>
      </c>
      <c r="T10" s="85">
        <f>VLOOKUP($Q10,Iedz_sk!$B$14:$R$123,4,FALSE)*C$61</f>
        <v>52243.427422404879</v>
      </c>
      <c r="U10" s="85">
        <f>VLOOKUP($Q10,Iedz_sk!$B$14:$R$123,5,FALSE)*D$61</f>
        <v>55800.134433880674</v>
      </c>
      <c r="V10" s="85">
        <f>VLOOKUP($Q10,Iedz_sk!$B$14:$R$123,6,FALSE)*E$61</f>
        <v>59780.146989737201</v>
      </c>
      <c r="W10" s="85">
        <f>VLOOKUP($Q10,Iedz_sk!$B$14:$R$123,7,FALSE)*F$61</f>
        <v>66149.733625627472</v>
      </c>
      <c r="X10" s="85">
        <f>VLOOKUP($Q10,Iedz_sk!$B$14:$R$123,8,FALSE)*G$61</f>
        <v>68969.117752433274</v>
      </c>
      <c r="Y10" s="91">
        <f>VLOOKUP($Q10,Iedz_sk!$B$14:$R$123,9,FALSE)*H$61</f>
        <v>71587.085645909683</v>
      </c>
      <c r="Z10" s="91">
        <f>VLOOKUP($Q10,Iedz_sk!$B$14:$R$123,10,FALSE)*I$61</f>
        <v>66790.479356655327</v>
      </c>
      <c r="AA10" s="91">
        <f>VLOOKUP($Q10,Iedz_sk!$B$14:$R$123,11,FALSE)*J$61</f>
        <v>70651.610623114946</v>
      </c>
      <c r="AB10" s="91">
        <f>VLOOKUP($Q10,Iedz_sk!$B$14:$R$123,16,FALSE)*K$61</f>
        <v>74826.518431839606</v>
      </c>
      <c r="AC10" s="162">
        <f>VLOOKUP($Q10,Iedz_sk!$B$14:$R$123,17,FALSE)*L$61</f>
        <v>78267.008951017051</v>
      </c>
      <c r="AD10" s="163">
        <f>VLOOKUP($Q10,Iedz_sk!$B$14:$Y$123,24,FALSE)*M$61</f>
        <v>99927.711677873638</v>
      </c>
    </row>
    <row r="11" spans="1:30" x14ac:dyDescent="0.35">
      <c r="Q11" s="3" t="s">
        <v>29</v>
      </c>
      <c r="R11" s="3" t="s">
        <v>292</v>
      </c>
      <c r="S11" s="85">
        <f>VLOOKUP($Q11,Iedz_sk!$B$14:$R$123,3,FALSE)*B$61</f>
        <v>66466.688700681669</v>
      </c>
      <c r="T11" s="85">
        <f>VLOOKUP($Q11,Iedz_sk!$B$14:$R$123,4,FALSE)*C$61</f>
        <v>65671.923211719317</v>
      </c>
      <c r="U11" s="85">
        <f>VLOOKUP($Q11,Iedz_sk!$B$14:$R$123,5,FALSE)*D$61</f>
        <v>69865.669700562648</v>
      </c>
      <c r="V11" s="85">
        <f>VLOOKUP($Q11,Iedz_sk!$B$14:$R$123,6,FALSE)*E$61</f>
        <v>75696.500748821592</v>
      </c>
      <c r="W11" s="85">
        <f>VLOOKUP($Q11,Iedz_sk!$B$14:$R$123,7,FALSE)*F$61</f>
        <v>102604.10944276556</v>
      </c>
      <c r="X11" s="85">
        <f>VLOOKUP($Q11,Iedz_sk!$B$14:$R$123,8,FALSE)*G$61</f>
        <v>108464.46850182122</v>
      </c>
      <c r="Y11" s="91">
        <f>VLOOKUP($Q11,Iedz_sk!$B$14:$R$123,9,FALSE)*H$61</f>
        <v>114397.94337490102</v>
      </c>
      <c r="Z11" s="91">
        <f>VLOOKUP($Q11,Iedz_sk!$B$14:$R$123,10,FALSE)*I$61</f>
        <v>113307.49849890689</v>
      </c>
      <c r="AA11" s="91">
        <f>VLOOKUP($Q11,Iedz_sk!$B$14:$R$123,11,FALSE)*J$61</f>
        <v>120779.74566676462</v>
      </c>
      <c r="AB11" s="91">
        <f>VLOOKUP($Q11,Iedz_sk!$B$14:$R$123,16,FALSE)*K$61</f>
        <v>127058.73811584535</v>
      </c>
      <c r="AC11" s="162">
        <f>VLOOKUP($Q11,Iedz_sk!$B$14:$R$123,17,FALSE)*L$61</f>
        <v>131997.25363300164</v>
      </c>
      <c r="AD11" s="163">
        <f>VLOOKUP($Q11,Iedz_sk!$B$14:$Y$123,24,FALSE)*M$61</f>
        <v>160750.97774938744</v>
      </c>
    </row>
    <row r="12" spans="1:30" x14ac:dyDescent="0.35">
      <c r="A12" s="207" t="s">
        <v>407</v>
      </c>
      <c r="B12" s="216" t="s">
        <v>401</v>
      </c>
      <c r="C12" s="216"/>
      <c r="D12" s="216"/>
      <c r="E12" s="216"/>
      <c r="F12" s="216"/>
      <c r="G12" s="216"/>
      <c r="H12" s="216"/>
      <c r="I12" s="216"/>
      <c r="J12" s="216" t="s">
        <v>290</v>
      </c>
      <c r="K12" s="216"/>
      <c r="L12" s="216"/>
      <c r="M12" s="146"/>
      <c r="N12" s="207" t="s">
        <v>142</v>
      </c>
      <c r="O12" s="217" t="s">
        <v>402</v>
      </c>
      <c r="P12" s="4" t="s">
        <v>411</v>
      </c>
      <c r="Q12" s="3" t="s">
        <v>38</v>
      </c>
      <c r="R12" s="3" t="s">
        <v>292</v>
      </c>
      <c r="S12" s="85">
        <f>VLOOKUP($Q12,Iedz_sk!$B$14:$R$123,3,FALSE)*B$61</f>
        <v>72838.863871101014</v>
      </c>
      <c r="T12" s="85">
        <f>VLOOKUP($Q12,Iedz_sk!$B$14:$R$123,4,FALSE)*C$61</f>
        <v>70828.542992486327</v>
      </c>
      <c r="U12" s="85">
        <f>VLOOKUP($Q12,Iedz_sk!$B$14:$R$123,5,FALSE)*D$61</f>
        <v>73962.128511807983</v>
      </c>
      <c r="V12" s="85">
        <f>VLOOKUP($Q12,Iedz_sk!$B$14:$R$123,6,FALSE)*E$61</f>
        <v>80453.746567244176</v>
      </c>
      <c r="W12" s="85">
        <f>VLOOKUP($Q12,Iedz_sk!$B$14:$R$123,7,FALSE)*F$61</f>
        <v>88950.64683513093</v>
      </c>
      <c r="X12" s="85">
        <f>VLOOKUP($Q12,Iedz_sk!$B$14:$R$123,8,FALSE)*G$61</f>
        <v>89024.859377799003</v>
      </c>
      <c r="Y12" s="91">
        <f>VLOOKUP($Q12,Iedz_sk!$B$14:$R$123,9,FALSE)*H$61</f>
        <v>92351.006244741569</v>
      </c>
      <c r="Z12" s="91">
        <f>VLOOKUP($Q12,Iedz_sk!$B$14:$R$123,10,FALSE)*I$61</f>
        <v>89787.79710906792</v>
      </c>
      <c r="AA12" s="91">
        <f>VLOOKUP($Q12,Iedz_sk!$B$14:$R$123,11,FALSE)*J$61</f>
        <v>92718.887462982471</v>
      </c>
      <c r="AB12" s="91">
        <f>VLOOKUP($Q12,Iedz_sk!$B$14:$R$123,16,FALSE)*K$61</f>
        <v>96449.754703222963</v>
      </c>
      <c r="AC12" s="162">
        <f>VLOOKUP($Q12,Iedz_sk!$B$14:$R$123,17,FALSE)*L$61</f>
        <v>99058.463293900029</v>
      </c>
      <c r="AD12" s="163">
        <f>VLOOKUP($Q12,Iedz_sk!$B$14:$Y$123,24,FALSE)*M$61</f>
        <v>110760.6999877436</v>
      </c>
    </row>
    <row r="13" spans="1:30" x14ac:dyDescent="0.35">
      <c r="A13" s="207"/>
      <c r="B13" s="90">
        <v>2013</v>
      </c>
      <c r="C13" s="90">
        <v>2014</v>
      </c>
      <c r="D13" s="90">
        <v>2015</v>
      </c>
      <c r="E13" s="90">
        <v>2016</v>
      </c>
      <c r="F13" s="90">
        <v>2017</v>
      </c>
      <c r="G13" s="90">
        <v>2018</v>
      </c>
      <c r="H13" s="90">
        <v>2019</v>
      </c>
      <c r="I13" s="90">
        <v>2020</v>
      </c>
      <c r="J13" s="90">
        <v>2021</v>
      </c>
      <c r="K13" s="90">
        <v>2022</v>
      </c>
      <c r="L13" s="90">
        <v>2023</v>
      </c>
      <c r="M13" s="166">
        <v>2030</v>
      </c>
      <c r="N13" s="207"/>
      <c r="O13" s="218"/>
      <c r="Q13" s="3" t="s">
        <v>40</v>
      </c>
      <c r="R13" s="3" t="s">
        <v>292</v>
      </c>
      <c r="S13" s="85">
        <f>VLOOKUP($Q13,Iedz_sk!$B$14:$R$123,3,FALSE)*B$61</f>
        <v>77132.729601322033</v>
      </c>
      <c r="T13" s="85">
        <f>VLOOKUP($Q13,Iedz_sk!$B$14:$R$123,4,FALSE)*C$61</f>
        <v>75627.198548322034</v>
      </c>
      <c r="U13" s="85">
        <f>VLOOKUP($Q13,Iedz_sk!$B$14:$R$123,5,FALSE)*D$61</f>
        <v>80676.624909187551</v>
      </c>
      <c r="V13" s="85">
        <f>VLOOKUP($Q13,Iedz_sk!$B$14:$R$123,6,FALSE)*E$61</f>
        <v>87683.435688048805</v>
      </c>
      <c r="W13" s="85">
        <f>VLOOKUP($Q13,Iedz_sk!$B$14:$R$123,7,FALSE)*F$61</f>
        <v>99981.758193508416</v>
      </c>
      <c r="X13" s="85">
        <f>VLOOKUP($Q13,Iedz_sk!$B$14:$R$123,8,FALSE)*G$61</f>
        <v>104918.56308592584</v>
      </c>
      <c r="Y13" s="91">
        <f>VLOOKUP($Q13,Iedz_sk!$B$14:$R$123,9,FALSE)*H$61</f>
        <v>112028.29039357153</v>
      </c>
      <c r="Z13" s="91">
        <f>VLOOKUP($Q13,Iedz_sk!$B$14:$R$123,10,FALSE)*I$61</f>
        <v>112076.16563925905</v>
      </c>
      <c r="AA13" s="91">
        <f>VLOOKUP($Q13,Iedz_sk!$B$14:$R$123,11,FALSE)*J$61</f>
        <v>122271.65444782563</v>
      </c>
      <c r="AB13" s="91">
        <f>VLOOKUP($Q13,Iedz_sk!$B$14:$R$123,16,FALSE)*K$61</f>
        <v>129506.90971140361</v>
      </c>
      <c r="AC13" s="162">
        <f>VLOOKUP($Q13,Iedz_sk!$B$14:$R$123,17,FALSE)*L$61</f>
        <v>135457.74911609793</v>
      </c>
      <c r="AD13" s="163">
        <f>VLOOKUP($Q13,Iedz_sk!$B$14:$Y$123,24,FALSE)*M$61</f>
        <v>172922.67680974538</v>
      </c>
    </row>
    <row r="14" spans="1:30" x14ac:dyDescent="0.35">
      <c r="A14" s="215" t="s">
        <v>312</v>
      </c>
      <c r="B14" s="215"/>
      <c r="C14" s="215"/>
      <c r="D14" s="215"/>
      <c r="E14" s="215"/>
      <c r="F14" s="215"/>
      <c r="G14" s="215"/>
      <c r="H14" s="215"/>
      <c r="I14" s="215"/>
      <c r="J14" s="215"/>
      <c r="K14" s="215"/>
      <c r="L14" s="215"/>
      <c r="M14" s="215"/>
      <c r="N14" s="215"/>
      <c r="O14" s="215"/>
      <c r="Q14" s="3" t="s">
        <v>44</v>
      </c>
      <c r="R14" s="3" t="s">
        <v>292</v>
      </c>
      <c r="S14" s="85">
        <f>VLOOKUP($Q14,Iedz_sk!$B$14:$R$123,3,FALSE)*B$61</f>
        <v>87975.23073745094</v>
      </c>
      <c r="T14" s="85">
        <f>VLOOKUP($Q14,Iedz_sk!$B$14:$R$123,4,FALSE)*C$61</f>
        <v>88755.778365396734</v>
      </c>
      <c r="U14" s="85">
        <f>VLOOKUP($Q14,Iedz_sk!$B$14:$R$123,5,FALSE)*D$61</f>
        <v>95625.106185310869</v>
      </c>
      <c r="V14" s="85">
        <f>VLOOKUP($Q14,Iedz_sk!$B$14:$R$123,6,FALSE)*E$61</f>
        <v>103412.14866079169</v>
      </c>
      <c r="W14" s="85">
        <f>VLOOKUP($Q14,Iedz_sk!$B$14:$R$123,7,FALSE)*F$61</f>
        <v>115789.73473832615</v>
      </c>
      <c r="X14" s="85">
        <f>VLOOKUP($Q14,Iedz_sk!$B$14:$R$123,8,FALSE)*G$61</f>
        <v>121252.36143786946</v>
      </c>
      <c r="Y14" s="91">
        <f>VLOOKUP($Q14,Iedz_sk!$B$14:$R$123,9,FALSE)*H$61</f>
        <v>127097.18863395961</v>
      </c>
      <c r="Z14" s="91">
        <f>VLOOKUP($Q14,Iedz_sk!$B$14:$R$123,10,FALSE)*I$61</f>
        <v>121516.38422989246</v>
      </c>
      <c r="AA14" s="91">
        <f>VLOOKUP($Q14,Iedz_sk!$B$14:$R$123,11,FALSE)*J$61</f>
        <v>129303.08539856531</v>
      </c>
      <c r="AB14" s="91">
        <f>VLOOKUP($Q14,Iedz_sk!$B$14:$R$123,16,FALSE)*K$61</f>
        <v>137781.4561656648</v>
      </c>
      <c r="AC14" s="162">
        <f>VLOOKUP($Q14,Iedz_sk!$B$14:$R$123,17,FALSE)*L$61</f>
        <v>144984.79223622716</v>
      </c>
      <c r="AD14" s="163">
        <f>VLOOKUP($Q14,Iedz_sk!$B$14:$Y$123,24,FALSE)*M$61</f>
        <v>192527.7434583393</v>
      </c>
    </row>
    <row r="15" spans="1:30" ht="14.4" customHeight="1" x14ac:dyDescent="0.35">
      <c r="A15" s="7" t="s">
        <v>307</v>
      </c>
      <c r="B15" s="89">
        <v>3447145</v>
      </c>
      <c r="C15" s="89">
        <v>3420851</v>
      </c>
      <c r="D15" s="89">
        <v>3619067</v>
      </c>
      <c r="E15" s="89">
        <v>3845298</v>
      </c>
      <c r="F15" s="89">
        <v>4307947</v>
      </c>
      <c r="G15" s="89">
        <v>4422346</v>
      </c>
      <c r="H15" s="3"/>
      <c r="I15" s="3"/>
      <c r="J15" s="3"/>
      <c r="K15" s="3"/>
      <c r="L15" s="3"/>
      <c r="M15" s="3"/>
      <c r="N15" s="220" t="s">
        <v>395</v>
      </c>
      <c r="O15" s="219" t="s">
        <v>297</v>
      </c>
      <c r="Q15" s="3" t="s">
        <v>46</v>
      </c>
      <c r="R15" s="3" t="s">
        <v>292</v>
      </c>
      <c r="S15" s="85">
        <f>VLOOKUP($Q15,Iedz_sk!$B$14:$R$123,3,FALSE)*B$61</f>
        <v>77015.089444329686</v>
      </c>
      <c r="T15" s="85">
        <f>VLOOKUP($Q15,Iedz_sk!$B$14:$R$123,4,FALSE)*C$61</f>
        <v>74959.643642369076</v>
      </c>
      <c r="U15" s="85">
        <f>VLOOKUP($Q15,Iedz_sk!$B$14:$R$123,5,FALSE)*D$61</f>
        <v>79249.537754392804</v>
      </c>
      <c r="V15" s="85">
        <f>VLOOKUP($Q15,Iedz_sk!$B$14:$R$123,6,FALSE)*E$61</f>
        <v>84758.446959784327</v>
      </c>
      <c r="W15" s="85">
        <f>VLOOKUP($Q15,Iedz_sk!$B$14:$R$123,7,FALSE)*F$61</f>
        <v>93542.839398384065</v>
      </c>
      <c r="X15" s="85">
        <f>VLOOKUP($Q15,Iedz_sk!$B$14:$R$123,8,FALSE)*G$61</f>
        <v>95035.294799068492</v>
      </c>
      <c r="Y15" s="91">
        <f>VLOOKUP($Q15,Iedz_sk!$B$14:$R$123,9,FALSE)*H$61</f>
        <v>100022.92142186356</v>
      </c>
      <c r="Z15" s="91">
        <f>VLOOKUP($Q15,Iedz_sk!$B$14:$R$123,10,FALSE)*I$61</f>
        <v>94265.371144150966</v>
      </c>
      <c r="AA15" s="91">
        <f>VLOOKUP($Q15,Iedz_sk!$B$14:$R$123,11,FALSE)*J$61</f>
        <v>98881.119384756166</v>
      </c>
      <c r="AB15" s="91">
        <f>VLOOKUP($Q15,Iedz_sk!$B$14:$R$123,16,FALSE)*K$61</f>
        <v>103233.51510208833</v>
      </c>
      <c r="AC15" s="162">
        <f>VLOOKUP($Q15,Iedz_sk!$B$14:$R$123,17,FALSE)*L$61</f>
        <v>106435.1573689777</v>
      </c>
      <c r="AD15" s="163">
        <f>VLOOKUP($Q15,Iedz_sk!$B$14:$Y$123,24,FALSE)*M$61</f>
        <v>122544.87751506557</v>
      </c>
    </row>
    <row r="16" spans="1:30" x14ac:dyDescent="0.35">
      <c r="A16" s="7" t="s">
        <v>308</v>
      </c>
      <c r="B16" s="89">
        <v>1417024</v>
      </c>
      <c r="C16" s="89">
        <v>1591971</v>
      </c>
      <c r="D16" s="89">
        <v>1597092</v>
      </c>
      <c r="E16" s="89">
        <v>1642910</v>
      </c>
      <c r="F16" s="89">
        <v>1709276</v>
      </c>
      <c r="G16" s="89">
        <v>1811796</v>
      </c>
      <c r="H16" s="3"/>
      <c r="I16" s="3"/>
      <c r="J16" s="3"/>
      <c r="K16" s="3"/>
      <c r="L16" s="3"/>
      <c r="M16" s="3"/>
      <c r="N16" s="220"/>
      <c r="O16" s="219"/>
      <c r="Q16" s="3" t="s">
        <v>49</v>
      </c>
      <c r="R16" s="3" t="s">
        <v>292</v>
      </c>
      <c r="S16" s="85">
        <f>VLOOKUP($Q16,Iedz_sk!$B$14:$R$123,3,FALSE)*B$61</f>
        <v>24126.035529849203</v>
      </c>
      <c r="T16" s="85">
        <f>VLOOKUP($Q16,Iedz_sk!$B$14:$R$123,4,FALSE)*C$61</f>
        <v>23644.988263029172</v>
      </c>
      <c r="U16" s="85">
        <f>VLOOKUP($Q16,Iedz_sk!$B$14:$R$123,5,FALSE)*D$61</f>
        <v>24701.954636231258</v>
      </c>
      <c r="V16" s="85">
        <f>VLOOKUP($Q16,Iedz_sk!$B$14:$R$123,6,FALSE)*E$61</f>
        <v>25806.126968612549</v>
      </c>
      <c r="W16" s="85">
        <f>VLOOKUP($Q16,Iedz_sk!$B$14:$R$123,7,FALSE)*F$61</f>
        <v>28070.238724442701</v>
      </c>
      <c r="X16" s="85">
        <f>VLOOKUP($Q16,Iedz_sk!$B$14:$R$123,8,FALSE)*G$61</f>
        <v>28153.48307159491</v>
      </c>
      <c r="Y16" s="91">
        <f>VLOOKUP($Q16,Iedz_sk!$B$14:$R$123,9,FALSE)*H$61</f>
        <v>28514.387808484142</v>
      </c>
      <c r="Z16" s="91">
        <f>VLOOKUP($Q16,Iedz_sk!$B$14:$R$123,10,FALSE)*I$61</f>
        <v>27338.077025312548</v>
      </c>
      <c r="AA16" s="91">
        <f>VLOOKUP($Q16,Iedz_sk!$B$14:$R$123,11,FALSE)*J$61</f>
        <v>28385.186199664982</v>
      </c>
      <c r="AB16" s="91">
        <f>VLOOKUP($Q16,Iedz_sk!$B$14:$R$123,16,FALSE)*K$61</f>
        <v>29514.828509579576</v>
      </c>
      <c r="AC16" s="162">
        <f>VLOOKUP($Q16,Iedz_sk!$B$14:$R$123,17,FALSE)*L$61</f>
        <v>30304.256740859586</v>
      </c>
      <c r="AD16" s="163">
        <f>VLOOKUP($Q16,Iedz_sk!$B$14:$Y$123,24,FALSE)*M$61</f>
        <v>33784.831834683879</v>
      </c>
    </row>
    <row r="17" spans="1:30" x14ac:dyDescent="0.35">
      <c r="A17" s="7" t="s">
        <v>309</v>
      </c>
      <c r="B17" s="89">
        <v>2261443</v>
      </c>
      <c r="C17" s="89">
        <v>2254035</v>
      </c>
      <c r="D17" s="89">
        <v>2297411</v>
      </c>
      <c r="E17" s="89">
        <v>2375405</v>
      </c>
      <c r="F17" s="89">
        <v>2519158</v>
      </c>
      <c r="G17" s="89">
        <v>2578180</v>
      </c>
      <c r="H17" s="3"/>
      <c r="I17" s="3"/>
      <c r="J17" s="3"/>
      <c r="K17" s="3"/>
      <c r="L17" s="3"/>
      <c r="M17" s="3"/>
      <c r="N17" s="220"/>
      <c r="O17" s="219"/>
      <c r="Q17" s="3" t="s">
        <v>4</v>
      </c>
      <c r="R17" s="3" t="s">
        <v>292</v>
      </c>
      <c r="S17" s="85">
        <f>VLOOKUP($Q17,$A$20:$L$28,2,FALSE)</f>
        <v>314917</v>
      </c>
      <c r="T17" s="85">
        <f>VLOOKUP($Q17,$A$20:$L$28,3,FALSE)</f>
        <v>351182</v>
      </c>
      <c r="U17" s="85">
        <f>VLOOKUP($Q17,$A$20:$L$28,4,FALSE)</f>
        <v>354600</v>
      </c>
      <c r="V17" s="85">
        <f>VLOOKUP($Q17,$A$20:$L$28,5,FALSE)</f>
        <v>344528</v>
      </c>
      <c r="W17" s="85">
        <f>VLOOKUP($Q17,$A$20:$L$28,6,FALSE)</f>
        <v>413226</v>
      </c>
      <c r="X17" s="85">
        <f>VLOOKUP($Q17,$A$20:$L$28,7,FALSE)</f>
        <v>421345</v>
      </c>
      <c r="Y17" s="91">
        <f>VLOOKUP($Q17,$A$20:$L$28,8,FALSE)</f>
        <v>442932.37345008616</v>
      </c>
      <c r="Z17" s="91">
        <f>VLOOKUP($Q17,$A$20:$L$28,9,FALSE)</f>
        <v>426510.63772031787</v>
      </c>
      <c r="AA17" s="91">
        <f>VLOOKUP($Q17,$A$20:$L$28,10,FALSE)</f>
        <v>449115.7015194947</v>
      </c>
      <c r="AB17" s="91">
        <f>VLOOKUP($Q17,$A$20:$L$28,11,FALSE)</f>
        <v>472020.60229698889</v>
      </c>
      <c r="AC17" s="162">
        <f>VLOOKUP($Q17,$A$20:$L$28,12,FALSE)</f>
        <v>489957.38518427446</v>
      </c>
      <c r="AD17" s="163">
        <f>VLOOKUP($Q17,$A$20:$M$28,13,FALSE)</f>
        <v>592848.43607297214</v>
      </c>
    </row>
    <row r="18" spans="1:30" x14ac:dyDescent="0.35">
      <c r="A18" s="7" t="s">
        <v>310</v>
      </c>
      <c r="B18" s="89">
        <v>1736371</v>
      </c>
      <c r="C18" s="89">
        <v>1827321</v>
      </c>
      <c r="D18" s="89">
        <v>1875715</v>
      </c>
      <c r="E18" s="89">
        <v>1917874</v>
      </c>
      <c r="F18" s="89">
        <v>1990557</v>
      </c>
      <c r="G18" s="89">
        <v>2023431</v>
      </c>
      <c r="H18" s="3"/>
      <c r="I18" s="3"/>
      <c r="J18" s="3"/>
      <c r="K18" s="3"/>
      <c r="L18" s="3"/>
      <c r="M18" s="3"/>
      <c r="N18" s="220"/>
      <c r="O18" s="219"/>
      <c r="Q18" s="3" t="s">
        <v>52</v>
      </c>
      <c r="R18" s="3" t="s">
        <v>292</v>
      </c>
      <c r="S18" s="85">
        <f>VLOOKUP($Q18,Iedz_sk!$B$14:$R$123,3,FALSE)*B$61</f>
        <v>86347.875232389997</v>
      </c>
      <c r="T18" s="85">
        <f>VLOOKUP($Q18,Iedz_sk!$B$14:$R$123,4,FALSE)*C$61</f>
        <v>83899.074556869469</v>
      </c>
      <c r="U18" s="85">
        <f>VLOOKUP($Q18,Iedz_sk!$B$14:$R$123,5,FALSE)*D$61</f>
        <v>87308.98679406094</v>
      </c>
      <c r="V18" s="85">
        <f>VLOOKUP($Q18,Iedz_sk!$B$14:$R$123,6,FALSE)*E$61</f>
        <v>91966.06069396055</v>
      </c>
      <c r="W18" s="85">
        <f>VLOOKUP($Q18,Iedz_sk!$B$14:$R$123,7,FALSE)*F$61</f>
        <v>99538.543897859316</v>
      </c>
      <c r="X18" s="85">
        <f>VLOOKUP($Q18,Iedz_sk!$B$14:$R$123,8,FALSE)*G$61</f>
        <v>98744.663939810111</v>
      </c>
      <c r="Y18" s="91">
        <f>VLOOKUP($Q18,Iedz_sk!$B$14:$R$123,9,FALSE)*H$61</f>
        <v>100337.1295519846</v>
      </c>
      <c r="Z18" s="91">
        <f>VLOOKUP($Q18,Iedz_sk!$B$14:$R$123,10,FALSE)*I$61</f>
        <v>93941.990797172737</v>
      </c>
      <c r="AA18" s="91">
        <f>VLOOKUP($Q18,Iedz_sk!$B$14:$R$123,11,FALSE)*J$61</f>
        <v>96805.420211106088</v>
      </c>
      <c r="AB18" s="91">
        <f>VLOOKUP($Q18,Iedz_sk!$B$14:$R$123,16,FALSE)*K$61</f>
        <v>100279.29686387278</v>
      </c>
      <c r="AC18" s="162">
        <f>VLOOKUP($Q18,Iedz_sk!$B$14:$R$123,17,FALSE)*L$61</f>
        <v>102575.92166560695</v>
      </c>
      <c r="AD18" s="163">
        <f>VLOOKUP($Q18,Iedz_sk!$B$14:$Y$123,24,FALSE)*M$61</f>
        <v>110884.00229370961</v>
      </c>
    </row>
    <row r="19" spans="1:30" x14ac:dyDescent="0.35">
      <c r="A19" s="7" t="s">
        <v>311</v>
      </c>
      <c r="B19" s="89">
        <v>1748074</v>
      </c>
      <c r="C19" s="89">
        <v>1753049</v>
      </c>
      <c r="D19" s="89">
        <v>1775697</v>
      </c>
      <c r="E19" s="89">
        <v>1783224</v>
      </c>
      <c r="F19" s="89">
        <v>1916034</v>
      </c>
      <c r="G19" s="89">
        <v>1871716</v>
      </c>
      <c r="H19" s="3"/>
      <c r="I19" s="3"/>
      <c r="J19" s="3"/>
      <c r="K19" s="3"/>
      <c r="L19" s="3"/>
      <c r="M19" s="3"/>
      <c r="N19" s="220"/>
      <c r="O19" s="219"/>
      <c r="Q19" s="3" t="s">
        <v>57</v>
      </c>
      <c r="R19" s="3" t="s">
        <v>292</v>
      </c>
      <c r="S19" s="85">
        <f>VLOOKUP($Q19,Iedz_sk!$B$14:$R$123,3,FALSE)*B$61</f>
        <v>51291.108448667626</v>
      </c>
      <c r="T19" s="85">
        <f>VLOOKUP($Q19,Iedz_sk!$B$14:$R$123,4,FALSE)*C$61</f>
        <v>50076.292655253274</v>
      </c>
      <c r="U19" s="85">
        <f>VLOOKUP($Q19,Iedz_sk!$B$14:$R$123,5,FALSE)*D$61</f>
        <v>53069.161893050448</v>
      </c>
      <c r="V19" s="85">
        <f>VLOOKUP($Q19,Iedz_sk!$B$14:$R$123,6,FALSE)*E$61</f>
        <v>56391.575142276095</v>
      </c>
      <c r="W19" s="85">
        <f>VLOOKUP($Q19,Iedz_sk!$B$14:$R$123,7,FALSE)*F$61</f>
        <v>61175.88430778763</v>
      </c>
      <c r="X19" s="85">
        <f>VLOOKUP($Q19,Iedz_sk!$B$14:$R$123,8,FALSE)*G$61</f>
        <v>61424.638144145218</v>
      </c>
      <c r="Y19" s="91">
        <f>VLOOKUP($Q19,Iedz_sk!$B$14:$R$123,9,FALSE)*H$61</f>
        <v>63600.96233866665</v>
      </c>
      <c r="Z19" s="91">
        <f>VLOOKUP($Q19,Iedz_sk!$B$14:$R$123,10,FALSE)*I$61</f>
        <v>60857.693760170296</v>
      </c>
      <c r="AA19" s="91">
        <f>VLOOKUP($Q19,Iedz_sk!$B$14:$R$123,11,FALSE)*J$61</f>
        <v>62699.088164068038</v>
      </c>
      <c r="AB19" s="91">
        <f>VLOOKUP($Q19,Iedz_sk!$B$14:$R$123,16,FALSE)*K$61</f>
        <v>65156.924476198838</v>
      </c>
      <c r="AC19" s="162">
        <f>VLOOKUP($Q19,Iedz_sk!$B$14:$R$123,17,FALSE)*L$61</f>
        <v>66845.949784584067</v>
      </c>
      <c r="AD19" s="163">
        <f>VLOOKUP($Q19,Iedz_sk!$B$14:$Y$123,24,FALSE)*M$61</f>
        <v>74139.915115841737</v>
      </c>
    </row>
    <row r="20" spans="1:30" x14ac:dyDescent="0.35">
      <c r="A20" s="19" t="s">
        <v>1</v>
      </c>
      <c r="B20" s="85">
        <v>12285806</v>
      </c>
      <c r="C20" s="85">
        <v>12731959</v>
      </c>
      <c r="D20" s="85">
        <v>13359444</v>
      </c>
      <c r="E20" s="85">
        <v>13761872</v>
      </c>
      <c r="F20" s="85">
        <v>14483156</v>
      </c>
      <c r="G20" s="85">
        <v>16395470</v>
      </c>
      <c r="H20" s="91">
        <f t="shared" ref="H20:L28" si="3">G20*(1+H$9)</f>
        <v>17235482.658936702</v>
      </c>
      <c r="I20" s="91">
        <f t="shared" si="3"/>
        <v>16596476.439555094</v>
      </c>
      <c r="J20" s="91">
        <f t="shared" si="3"/>
        <v>17476089.690851513</v>
      </c>
      <c r="K20" s="91">
        <f t="shared" si="3"/>
        <v>18367370.265084941</v>
      </c>
      <c r="L20" s="91">
        <f t="shared" si="3"/>
        <v>19065330.335158169</v>
      </c>
      <c r="M20" s="163">
        <f>L20*(1+M$9*(M$4-L$4))</f>
        <v>23069049.705541383</v>
      </c>
      <c r="N20" s="220"/>
      <c r="O20" s="219"/>
      <c r="Q20" s="3" t="s">
        <v>60</v>
      </c>
      <c r="R20" s="3" t="s">
        <v>292</v>
      </c>
      <c r="S20" s="85">
        <f>VLOOKUP($Q20,Iedz_sk!$B$14:$R$123,3,FALSE)*B$61</f>
        <v>55388.90725056806</v>
      </c>
      <c r="T20" s="85">
        <f>VLOOKUP($Q20,Iedz_sk!$B$14:$R$123,4,FALSE)*C$61</f>
        <v>54042.92325584327</v>
      </c>
      <c r="U20" s="85">
        <f>VLOOKUP($Q20,Iedz_sk!$B$14:$R$123,5,FALSE)*D$61</f>
        <v>56939.750794903812</v>
      </c>
      <c r="V20" s="85">
        <f>VLOOKUP($Q20,Iedz_sk!$B$14:$R$123,6,FALSE)*E$61</f>
        <v>60133.353175791774</v>
      </c>
      <c r="W20" s="85">
        <f>VLOOKUP($Q20,Iedz_sk!$B$14:$R$123,7,FALSE)*F$61</f>
        <v>66814.555069101116</v>
      </c>
      <c r="X20" s="85">
        <f>VLOOKUP($Q20,Iedz_sk!$B$14:$R$123,8,FALSE)*G$61</f>
        <v>67573.389024899981</v>
      </c>
      <c r="Y20" s="91">
        <f>VLOOKUP($Q20,Iedz_sk!$B$14:$R$123,9,FALSE)*H$61</f>
        <v>69963.67697361765</v>
      </c>
      <c r="Z20" s="91">
        <f>VLOOKUP($Q20,Iedz_sk!$B$14:$R$123,10,FALSE)*I$61</f>
        <v>66355.159658800025</v>
      </c>
      <c r="AA20" s="91">
        <f>VLOOKUP($Q20,Iedz_sk!$B$14:$R$123,11,FALSE)*J$61</f>
        <v>68926.18568501831</v>
      </c>
      <c r="AB20" s="91">
        <f>VLOOKUP($Q20,Iedz_sk!$B$14:$R$123,16,FALSE)*K$61</f>
        <v>71858.623257336003</v>
      </c>
      <c r="AC20" s="162">
        <f>VLOOKUP($Q20,Iedz_sk!$B$14:$R$123,17,FALSE)*L$61</f>
        <v>73994.792305219176</v>
      </c>
      <c r="AD20" s="163">
        <f>VLOOKUP($Q20,Iedz_sk!$B$14:$Y$123,24,FALSE)*M$61</f>
        <v>84303.548050467696</v>
      </c>
    </row>
    <row r="21" spans="1:30" x14ac:dyDescent="0.35">
      <c r="A21" s="19" t="s">
        <v>4</v>
      </c>
      <c r="B21" s="85">
        <v>314917</v>
      </c>
      <c r="C21" s="85">
        <v>351182</v>
      </c>
      <c r="D21" s="85">
        <v>354600</v>
      </c>
      <c r="E21" s="85">
        <v>344528</v>
      </c>
      <c r="F21" s="85">
        <v>413226</v>
      </c>
      <c r="G21" s="85">
        <v>421345</v>
      </c>
      <c r="H21" s="91">
        <f t="shared" si="3"/>
        <v>442932.37345008616</v>
      </c>
      <c r="I21" s="91">
        <f t="shared" si="3"/>
        <v>426510.63772031787</v>
      </c>
      <c r="J21" s="91">
        <f t="shared" si="3"/>
        <v>449115.7015194947</v>
      </c>
      <c r="K21" s="91">
        <f t="shared" si="3"/>
        <v>472020.60229698889</v>
      </c>
      <c r="L21" s="91">
        <f t="shared" si="3"/>
        <v>489957.38518427446</v>
      </c>
      <c r="M21" s="163">
        <f t="shared" ref="M21:M28" si="4">L21*(1+M$9*(M$4-L$4))</f>
        <v>592848.43607297214</v>
      </c>
      <c r="N21" s="220"/>
      <c r="O21" s="219"/>
      <c r="Q21" s="3" t="s">
        <v>61</v>
      </c>
      <c r="R21" s="3" t="s">
        <v>292</v>
      </c>
      <c r="S21" s="85">
        <f>VLOOKUP($Q21,Iedz_sk!$B$14:$R$123,3,FALSE)*B$61</f>
        <v>218977.3488948564</v>
      </c>
      <c r="T21" s="85">
        <f>VLOOKUP($Q21,Iedz_sk!$B$14:$R$123,4,FALSE)*C$61</f>
        <v>216084.62064433575</v>
      </c>
      <c r="U21" s="85">
        <f>VLOOKUP($Q21,Iedz_sk!$B$14:$R$123,5,FALSE)*D$61</f>
        <v>232338.00225183432</v>
      </c>
      <c r="V21" s="85">
        <f>VLOOKUP($Q21,Iedz_sk!$B$14:$R$123,6,FALSE)*E$61</f>
        <v>251052.33443160498</v>
      </c>
      <c r="W21" s="85">
        <f>VLOOKUP($Q21,Iedz_sk!$B$14:$R$123,7,FALSE)*F$61</f>
        <v>278720.23442221858</v>
      </c>
      <c r="X21" s="85">
        <f>VLOOKUP($Q21,Iedz_sk!$B$14:$R$123,8,FALSE)*G$61</f>
        <v>289733.16522362211</v>
      </c>
      <c r="Y21" s="91">
        <f>VLOOKUP($Q21,Iedz_sk!$B$14:$R$123,9,FALSE)*H$61</f>
        <v>310254.34448368096</v>
      </c>
      <c r="Z21" s="91">
        <f>VLOOKUP($Q21,Iedz_sk!$B$14:$R$123,10,FALSE)*I$61</f>
        <v>301850.6784928618</v>
      </c>
      <c r="AA21" s="91">
        <f>VLOOKUP($Q21,Iedz_sk!$B$14:$R$123,11,FALSE)*J$61</f>
        <v>319540.91466359608</v>
      </c>
      <c r="AB21" s="91">
        <f>VLOOKUP($Q21,Iedz_sk!$B$14:$R$123,16,FALSE)*K$61</f>
        <v>337273.24886294361</v>
      </c>
      <c r="AC21" s="162">
        <f>VLOOKUP($Q21,Iedz_sk!$B$14:$R$123,17,FALSE)*L$61</f>
        <v>351574.9485048597</v>
      </c>
      <c r="AD21" s="163">
        <f>VLOOKUP($Q21,Iedz_sk!$B$14:$Y$123,24,FALSE)*M$61</f>
        <v>438410.15616968041</v>
      </c>
    </row>
    <row r="22" spans="1:30" x14ac:dyDescent="0.35">
      <c r="A22" s="19" t="s">
        <v>8</v>
      </c>
      <c r="B22" s="85">
        <v>299721</v>
      </c>
      <c r="C22" s="85">
        <v>332890</v>
      </c>
      <c r="D22" s="85">
        <v>348612</v>
      </c>
      <c r="E22" s="85">
        <v>360710</v>
      </c>
      <c r="F22" s="85">
        <v>384069</v>
      </c>
      <c r="G22" s="85">
        <v>390505</v>
      </c>
      <c r="H22" s="91">
        <f t="shared" si="3"/>
        <v>410512.30344284588</v>
      </c>
      <c r="I22" s="91">
        <f t="shared" si="3"/>
        <v>395292.54312492791</v>
      </c>
      <c r="J22" s="91">
        <f t="shared" si="3"/>
        <v>416243.04791054904</v>
      </c>
      <c r="K22" s="91">
        <f t="shared" si="3"/>
        <v>437471.44335398701</v>
      </c>
      <c r="L22" s="91">
        <f t="shared" si="3"/>
        <v>454095.3582014385</v>
      </c>
      <c r="M22" s="163">
        <f t="shared" si="4"/>
        <v>549455.38342374063</v>
      </c>
      <c r="N22" s="220"/>
      <c r="O22" s="219"/>
      <c r="Q22" s="3" t="s">
        <v>62</v>
      </c>
      <c r="R22" s="3" t="s">
        <v>292</v>
      </c>
      <c r="S22" s="85">
        <f>VLOOKUP($Q22,Iedz_sk!$B$14:$R$123,3,FALSE)*B$61</f>
        <v>100798.00784961785</v>
      </c>
      <c r="T22" s="85">
        <f>VLOOKUP($Q22,Iedz_sk!$B$14:$R$123,4,FALSE)*C$61</f>
        <v>98430.487147323569</v>
      </c>
      <c r="U22" s="85">
        <f>VLOOKUP($Q22,Iedz_sk!$B$14:$R$123,5,FALSE)*D$61</f>
        <v>103181.48133587871</v>
      </c>
      <c r="V22" s="85">
        <f>VLOOKUP($Q22,Iedz_sk!$B$14:$R$123,6,FALSE)*E$61</f>
        <v>109913.35002285875</v>
      </c>
      <c r="W22" s="85">
        <f>VLOOKUP($Q22,Iedz_sk!$B$14:$R$123,7,FALSE)*F$61</f>
        <v>120135.69713732977</v>
      </c>
      <c r="X22" s="85">
        <f>VLOOKUP($Q22,Iedz_sk!$B$14:$R$123,8,FALSE)*G$61</f>
        <v>122409.18164447363</v>
      </c>
      <c r="Y22" s="91">
        <f>VLOOKUP($Q22,Iedz_sk!$B$14:$R$123,9,FALSE)*H$61</f>
        <v>126246.20828154848</v>
      </c>
      <c r="Z22" s="91">
        <f>VLOOKUP($Q22,Iedz_sk!$B$14:$R$123,10,FALSE)*I$61</f>
        <v>119700.47920455322</v>
      </c>
      <c r="AA22" s="91">
        <f>VLOOKUP($Q22,Iedz_sk!$B$14:$R$123,11,FALSE)*J$61</f>
        <v>123854.37506773382</v>
      </c>
      <c r="AB22" s="91">
        <f>VLOOKUP($Q22,Iedz_sk!$B$14:$R$123,16,FALSE)*K$61</f>
        <v>129260.72485821898</v>
      </c>
      <c r="AC22" s="162">
        <f>VLOOKUP($Q22,Iedz_sk!$B$14:$R$123,17,FALSE)*L$61</f>
        <v>133236.19646028301</v>
      </c>
      <c r="AD22" s="163">
        <f>VLOOKUP($Q22,Iedz_sk!$B$14:$Y$123,24,FALSE)*M$61</f>
        <v>153000.54708866746</v>
      </c>
    </row>
    <row r="23" spans="1:30" x14ac:dyDescent="0.35">
      <c r="A23" s="19" t="s">
        <v>6</v>
      </c>
      <c r="B23" s="85">
        <v>717871</v>
      </c>
      <c r="C23" s="85">
        <v>704779</v>
      </c>
      <c r="D23" s="85">
        <v>747871</v>
      </c>
      <c r="E23" s="85">
        <v>797249</v>
      </c>
      <c r="F23" s="85">
        <v>835320</v>
      </c>
      <c r="G23" s="85">
        <v>897384</v>
      </c>
      <c r="H23" s="91">
        <f t="shared" si="3"/>
        <v>943360.96314453031</v>
      </c>
      <c r="I23" s="91">
        <f t="shared" si="3"/>
        <v>908385.81713325123</v>
      </c>
      <c r="J23" s="91">
        <f t="shared" si="3"/>
        <v>956530.2654413135</v>
      </c>
      <c r="K23" s="91">
        <f t="shared" si="3"/>
        <v>1005313.3089788205</v>
      </c>
      <c r="L23" s="91">
        <f t="shared" si="3"/>
        <v>1043515.2147200156</v>
      </c>
      <c r="M23" s="163">
        <f t="shared" si="4"/>
        <v>1262653.409811219</v>
      </c>
      <c r="N23" s="220"/>
      <c r="O23" s="219"/>
      <c r="Q23" s="3" t="s">
        <v>63</v>
      </c>
      <c r="R23" s="3" t="s">
        <v>292</v>
      </c>
      <c r="S23" s="85">
        <f>VLOOKUP($Q23,Iedz_sk!$B$14:$R$123,3,FALSE)*B$61</f>
        <v>171538.95558768848</v>
      </c>
      <c r="T23" s="85">
        <f>VLOOKUP($Q23,Iedz_sk!$B$14:$R$123,4,FALSE)*C$61</f>
        <v>167004.82299362094</v>
      </c>
      <c r="U23" s="85">
        <f>VLOOKUP($Q23,Iedz_sk!$B$14:$R$123,5,FALSE)*D$61</f>
        <v>175541.98685381631</v>
      </c>
      <c r="V23" s="85">
        <f>VLOOKUP($Q23,Iedz_sk!$B$14:$R$123,6,FALSE)*E$61</f>
        <v>185830.60463796445</v>
      </c>
      <c r="W23" s="85">
        <f>VLOOKUP($Q23,Iedz_sk!$B$14:$R$123,7,FALSE)*F$61</f>
        <v>204014.00258892105</v>
      </c>
      <c r="X23" s="85">
        <f>VLOOKUP($Q23,Iedz_sk!$B$14:$R$123,8,FALSE)*G$61</f>
        <v>205109.25228399114</v>
      </c>
      <c r="Y23" s="91">
        <f>VLOOKUP($Q23,Iedz_sk!$B$14:$R$123,9,FALSE)*H$61</f>
        <v>213412.78037929293</v>
      </c>
      <c r="Z23" s="91">
        <f>VLOOKUP($Q23,Iedz_sk!$B$14:$R$123,10,FALSE)*I$61</f>
        <v>208605.19921225755</v>
      </c>
      <c r="AA23" s="91">
        <f>VLOOKUP($Q23,Iedz_sk!$B$14:$R$123,11,FALSE)*J$61</f>
        <v>217221.91852248195</v>
      </c>
      <c r="AB23" s="91">
        <f>VLOOKUP($Q23,Iedz_sk!$B$14:$R$123,16,FALSE)*K$61</f>
        <v>224862.50951158378</v>
      </c>
      <c r="AC23" s="162">
        <f>VLOOKUP($Q23,Iedz_sk!$B$14:$R$123,17,FALSE)*L$61</f>
        <v>229816.77409962029</v>
      </c>
      <c r="AD23" s="163">
        <f>VLOOKUP($Q23,Iedz_sk!$B$14:$Y$123,24,FALSE)*M$61</f>
        <v>246904.06038934513</v>
      </c>
    </row>
    <row r="24" spans="1:30" x14ac:dyDescent="0.35">
      <c r="A24" s="19" t="s">
        <v>9</v>
      </c>
      <c r="B24" s="85">
        <v>519053</v>
      </c>
      <c r="C24" s="85">
        <v>481685</v>
      </c>
      <c r="D24" s="85">
        <v>503259</v>
      </c>
      <c r="E24" s="85">
        <v>473718</v>
      </c>
      <c r="F24" s="85">
        <v>483367</v>
      </c>
      <c r="G24" s="85">
        <v>470141</v>
      </c>
      <c r="H24" s="91">
        <f t="shared" si="3"/>
        <v>494228.40899072483</v>
      </c>
      <c r="I24" s="91">
        <f t="shared" si="3"/>
        <v>475904.87066054653</v>
      </c>
      <c r="J24" s="91">
        <f t="shared" si="3"/>
        <v>501127.82880555547</v>
      </c>
      <c r="K24" s="91">
        <f t="shared" si="3"/>
        <v>526685.34807463875</v>
      </c>
      <c r="L24" s="91">
        <f t="shared" si="3"/>
        <v>546699.391301475</v>
      </c>
      <c r="M24" s="163">
        <f t="shared" si="4"/>
        <v>661506.26347478468</v>
      </c>
      <c r="N24" s="220"/>
      <c r="O24" s="219"/>
      <c r="Q24" s="3" t="s">
        <v>70</v>
      </c>
      <c r="R24" s="3" t="s">
        <v>292</v>
      </c>
      <c r="S24" s="85">
        <f>VLOOKUP($Q24,Iedz_sk!$B$14:$R$123,3,FALSE)*B$61</f>
        <v>34782.273084073538</v>
      </c>
      <c r="T24" s="85">
        <f>VLOOKUP($Q24,Iedz_sk!$B$14:$R$123,4,FALSE)*C$61</f>
        <v>34074.324329946292</v>
      </c>
      <c r="U24" s="85">
        <f>VLOOKUP($Q24,Iedz_sk!$B$14:$R$123,5,FALSE)*D$61</f>
        <v>36098.11824646264</v>
      </c>
      <c r="V24" s="85">
        <f>VLOOKUP($Q24,Iedz_sk!$B$14:$R$123,6,FALSE)*E$61</f>
        <v>38300.795800293221</v>
      </c>
      <c r="W24" s="85">
        <f>VLOOKUP($Q24,Iedz_sk!$B$14:$R$123,7,FALSE)*F$61</f>
        <v>41994.554512751783</v>
      </c>
      <c r="X24" s="85">
        <f>VLOOKUP($Q24,Iedz_sk!$B$14:$R$123,8,FALSE)*G$61</f>
        <v>42890.366573117572</v>
      </c>
      <c r="Y24" s="91">
        <f>VLOOKUP($Q24,Iedz_sk!$B$14:$R$123,9,FALSE)*H$61</f>
        <v>43858.218162728132</v>
      </c>
      <c r="Z24" s="91">
        <f>VLOOKUP($Q24,Iedz_sk!$B$14:$R$123,10,FALSE)*I$61</f>
        <v>41952.381167597465</v>
      </c>
      <c r="AA24" s="91">
        <f>VLOOKUP($Q24,Iedz_sk!$B$14:$R$123,11,FALSE)*J$61</f>
        <v>43122.650332580626</v>
      </c>
      <c r="AB24" s="91">
        <f>VLOOKUP($Q24,Iedz_sk!$B$14:$R$123,16,FALSE)*K$61</f>
        <v>45079.182005363429</v>
      </c>
      <c r="AC24" s="162">
        <f>VLOOKUP($Q24,Iedz_sk!$B$14:$R$123,17,FALSE)*L$61</f>
        <v>46538.679994891507</v>
      </c>
      <c r="AD24" s="163">
        <f>VLOOKUP($Q24,Iedz_sk!$B$14:$Y$123,24,FALSE)*M$61</f>
        <v>54076.868473659808</v>
      </c>
    </row>
    <row r="25" spans="1:30" x14ac:dyDescent="0.35">
      <c r="A25" s="19" t="s">
        <v>5</v>
      </c>
      <c r="B25" s="85">
        <v>506504</v>
      </c>
      <c r="C25" s="85">
        <v>519381</v>
      </c>
      <c r="D25" s="85">
        <v>523856</v>
      </c>
      <c r="E25" s="85">
        <v>550073</v>
      </c>
      <c r="F25" s="85">
        <v>592572</v>
      </c>
      <c r="G25" s="85">
        <v>583498</v>
      </c>
      <c r="H25" s="91">
        <f t="shared" si="3"/>
        <v>613393.19095605356</v>
      </c>
      <c r="I25" s="91">
        <f t="shared" si="3"/>
        <v>590651.61349613755</v>
      </c>
      <c r="J25" s="91">
        <f t="shared" si="3"/>
        <v>621956.14901143278</v>
      </c>
      <c r="K25" s="91">
        <f t="shared" si="3"/>
        <v>653675.91261101584</v>
      </c>
      <c r="L25" s="91">
        <f t="shared" si="3"/>
        <v>678515.59729023441</v>
      </c>
      <c r="M25" s="163">
        <f t="shared" si="4"/>
        <v>821003.87272118358</v>
      </c>
      <c r="N25" s="220"/>
      <c r="O25" s="219"/>
      <c r="Q25" s="3" t="s">
        <v>71</v>
      </c>
      <c r="R25" s="3" t="s">
        <v>292</v>
      </c>
      <c r="S25" s="85">
        <f>VLOOKUP($Q25,Iedz_sk!$B$14:$R$123,3,FALSE)*B$61</f>
        <v>163313.94794463951</v>
      </c>
      <c r="T25" s="85">
        <f>VLOOKUP($Q25,Iedz_sk!$B$14:$R$123,4,FALSE)*C$61</f>
        <v>163966.96443609591</v>
      </c>
      <c r="U25" s="85">
        <f>VLOOKUP($Q25,Iedz_sk!$B$14:$R$123,5,FALSE)*D$61</f>
        <v>182143.54829649991</v>
      </c>
      <c r="V25" s="85">
        <f>VLOOKUP($Q25,Iedz_sk!$B$14:$R$123,6,FALSE)*E$61</f>
        <v>205554.96259044975</v>
      </c>
      <c r="W25" s="85">
        <f>VLOOKUP($Q25,Iedz_sk!$B$14:$R$123,7,FALSE)*F$61</f>
        <v>228021.44360324705</v>
      </c>
      <c r="X25" s="85">
        <f>VLOOKUP($Q25,Iedz_sk!$B$14:$R$123,8,FALSE)*G$61</f>
        <v>244642.32543142053</v>
      </c>
      <c r="Y25" s="91">
        <f>VLOOKUP($Q25,Iedz_sk!$B$14:$R$123,9,FALSE)*H$61</f>
        <v>261931.75247214979</v>
      </c>
      <c r="Z25" s="91">
        <f>VLOOKUP($Q25,Iedz_sk!$B$14:$R$123,10,FALSE)*I$61</f>
        <v>257970.45294904805</v>
      </c>
      <c r="AA25" s="91">
        <f>VLOOKUP($Q25,Iedz_sk!$B$14:$R$123,11,FALSE)*J$61</f>
        <v>279921.00668654998</v>
      </c>
      <c r="AB25" s="91">
        <f>VLOOKUP($Q25,Iedz_sk!$B$14:$R$123,16,FALSE)*K$61</f>
        <v>305994.09557220753</v>
      </c>
      <c r="AC25" s="162">
        <f>VLOOKUP($Q25,Iedz_sk!$B$14:$R$123,17,FALSE)*L$61</f>
        <v>329943.29155496979</v>
      </c>
      <c r="AD25" s="163">
        <f>VLOOKUP($Q25,Iedz_sk!$B$14:$Y$123,24,FALSE)*M$61</f>
        <v>506244.03906611819</v>
      </c>
    </row>
    <row r="26" spans="1:30" x14ac:dyDescent="0.35">
      <c r="A26" s="19" t="s">
        <v>3</v>
      </c>
      <c r="B26" s="85">
        <v>197716</v>
      </c>
      <c r="C26" s="85">
        <v>194513</v>
      </c>
      <c r="D26" s="85">
        <v>206704</v>
      </c>
      <c r="E26" s="85">
        <v>206575</v>
      </c>
      <c r="F26" s="85">
        <v>217715</v>
      </c>
      <c r="G26" s="85">
        <v>234515</v>
      </c>
      <c r="H26" s="91">
        <f t="shared" si="3"/>
        <v>246530.24376614639</v>
      </c>
      <c r="I26" s="91">
        <f t="shared" si="3"/>
        <v>237390.12496880311</v>
      </c>
      <c r="J26" s="91">
        <f t="shared" si="3"/>
        <v>249971.80159214966</v>
      </c>
      <c r="K26" s="91">
        <f t="shared" si="3"/>
        <v>262720.36347334925</v>
      </c>
      <c r="L26" s="91">
        <f t="shared" si="3"/>
        <v>272703.73728533654</v>
      </c>
      <c r="M26" s="163">
        <f t="shared" si="4"/>
        <v>329971.52211525722</v>
      </c>
      <c r="N26" s="220"/>
      <c r="O26" s="219"/>
      <c r="Q26" s="3" t="s">
        <v>76</v>
      </c>
      <c r="R26" s="3" t="s">
        <v>292</v>
      </c>
      <c r="S26" s="85">
        <f>VLOOKUP($Q26,Iedz_sk!$B$14:$R$123,3,FALSE)*B$61</f>
        <v>348322.70150795288</v>
      </c>
      <c r="T26" s="85">
        <f>VLOOKUP($Q26,Iedz_sk!$B$14:$R$123,4,FALSE)*C$61</f>
        <v>337618.31236290059</v>
      </c>
      <c r="U26" s="85">
        <f>VLOOKUP($Q26,Iedz_sk!$B$14:$R$123,5,FALSE)*D$61</f>
        <v>355026.43030792888</v>
      </c>
      <c r="V26" s="85">
        <f>VLOOKUP($Q26,Iedz_sk!$B$14:$R$123,6,FALSE)*E$61</f>
        <v>375060.81881670421</v>
      </c>
      <c r="W26" s="85">
        <f>VLOOKUP($Q26,Iedz_sk!$B$14:$R$123,7,FALSE)*F$61</f>
        <v>411795.32669085945</v>
      </c>
      <c r="X26" s="85">
        <f>VLOOKUP($Q26,Iedz_sk!$B$14:$R$123,8,FALSE)*G$61</f>
        <v>415990.03146832268</v>
      </c>
      <c r="Y26" s="91">
        <f>VLOOKUP($Q26,Iedz_sk!$B$14:$R$123,9,FALSE)*H$61</f>
        <v>431996.90290016128</v>
      </c>
      <c r="Z26" s="91">
        <f>VLOOKUP($Q26,Iedz_sk!$B$14:$R$123,10,FALSE)*I$61</f>
        <v>409536.33403660887</v>
      </c>
      <c r="AA26" s="91">
        <f>VLOOKUP($Q26,Iedz_sk!$B$14:$R$123,11,FALSE)*J$61</f>
        <v>425388.59939991537</v>
      </c>
      <c r="AB26" s="91">
        <f>VLOOKUP($Q26,Iedz_sk!$B$14:$R$123,16,FALSE)*K$61</f>
        <v>441833.42678497138</v>
      </c>
      <c r="AC26" s="162">
        <f>VLOOKUP($Q26,Iedz_sk!$B$14:$R$123,17,FALSE)*L$61</f>
        <v>453139.77889762778</v>
      </c>
      <c r="AD26" s="163">
        <f>VLOOKUP($Q26,Iedz_sk!$B$14:$Y$123,24,FALSE)*M$61</f>
        <v>500660.20606737223</v>
      </c>
    </row>
    <row r="27" spans="1:30" x14ac:dyDescent="0.35">
      <c r="A27" s="19" t="s">
        <v>2</v>
      </c>
      <c r="B27" s="85">
        <v>724319</v>
      </c>
      <c r="C27" s="85">
        <v>728322</v>
      </c>
      <c r="D27" s="85">
        <v>719182</v>
      </c>
      <c r="E27" s="85">
        <v>722341</v>
      </c>
      <c r="F27" s="85">
        <v>761088</v>
      </c>
      <c r="G27" s="85">
        <v>693172</v>
      </c>
      <c r="H27" s="91">
        <f t="shared" si="3"/>
        <v>728686.27649347472</v>
      </c>
      <c r="I27" s="91">
        <f t="shared" si="3"/>
        <v>701670.20320608572</v>
      </c>
      <c r="J27" s="91">
        <f t="shared" si="3"/>
        <v>738858.72397600824</v>
      </c>
      <c r="K27" s="91">
        <f t="shared" si="3"/>
        <v>776540.51889878465</v>
      </c>
      <c r="L27" s="91">
        <f t="shared" si="3"/>
        <v>806049.05861693854</v>
      </c>
      <c r="M27" s="163">
        <f t="shared" si="4"/>
        <v>975319.36092649563</v>
      </c>
      <c r="N27" s="220"/>
      <c r="O27" s="219"/>
      <c r="Q27" s="3" t="s">
        <v>77</v>
      </c>
      <c r="R27" s="3" t="s">
        <v>292</v>
      </c>
      <c r="S27" s="85">
        <f>VLOOKUP($Q27,Iedz_sk!$B$14:$R$123,3,FALSE)*B$61</f>
        <v>194586.62301177441</v>
      </c>
      <c r="T27" s="85">
        <f>VLOOKUP($Q27,Iedz_sk!$B$14:$R$123,4,FALSE)*C$61</f>
        <v>190785.25717959707</v>
      </c>
      <c r="U27" s="85">
        <f>VLOOKUP($Q27,Iedz_sk!$B$14:$R$123,5,FALSE)*D$61</f>
        <v>202441.03969958768</v>
      </c>
      <c r="V27" s="85">
        <f>VLOOKUP($Q27,Iedz_sk!$B$14:$R$123,6,FALSE)*E$61</f>
        <v>217276.99289013603</v>
      </c>
      <c r="W27" s="85">
        <f>VLOOKUP($Q27,Iedz_sk!$B$14:$R$123,7,FALSE)*F$61</f>
        <v>239914.36053649778</v>
      </c>
      <c r="X27" s="85">
        <f>VLOOKUP($Q27,Iedz_sk!$B$14:$R$123,8,FALSE)*G$61</f>
        <v>244051.34119543797</v>
      </c>
      <c r="Y27" s="91">
        <f>VLOOKUP($Q27,Iedz_sk!$B$14:$R$123,9,FALSE)*H$61</f>
        <v>255281.01371792116</v>
      </c>
      <c r="Z27" s="91">
        <f>VLOOKUP($Q27,Iedz_sk!$B$14:$R$123,10,FALSE)*I$61</f>
        <v>242672.07499584765</v>
      </c>
      <c r="AA27" s="91">
        <f>VLOOKUP($Q27,Iedz_sk!$B$14:$R$123,11,FALSE)*J$61</f>
        <v>255635.32635484391</v>
      </c>
      <c r="AB27" s="91">
        <f>VLOOKUP($Q27,Iedz_sk!$B$14:$R$123,16,FALSE)*K$61</f>
        <v>266618.1959989547</v>
      </c>
      <c r="AC27" s="162">
        <f>VLOOKUP($Q27,Iedz_sk!$B$14:$R$123,17,FALSE)*L$61</f>
        <v>274603.84526973468</v>
      </c>
      <c r="AD27" s="163">
        <f>VLOOKUP($Q27,Iedz_sk!$B$14:$Y$123,24,FALSE)*M$61</f>
        <v>313610.60791695089</v>
      </c>
    </row>
    <row r="28" spans="1:30" x14ac:dyDescent="0.35">
      <c r="A28" s="19" t="s">
        <v>7</v>
      </c>
      <c r="B28" s="85">
        <v>287719</v>
      </c>
      <c r="C28" s="85">
        <v>281803</v>
      </c>
      <c r="D28" s="85">
        <v>290999</v>
      </c>
      <c r="E28" s="85">
        <v>286341</v>
      </c>
      <c r="F28" s="85">
        <v>306159</v>
      </c>
      <c r="G28" s="85">
        <v>282665</v>
      </c>
      <c r="H28" s="91">
        <f t="shared" si="3"/>
        <v>297147.18186110811</v>
      </c>
      <c r="I28" s="91">
        <f t="shared" si="3"/>
        <v>286130.4380287262</v>
      </c>
      <c r="J28" s="91">
        <f t="shared" si="3"/>
        <v>301295.35124424868</v>
      </c>
      <c r="K28" s="91">
        <f t="shared" si="3"/>
        <v>316661.41415770532</v>
      </c>
      <c r="L28" s="91">
        <f t="shared" si="3"/>
        <v>328694.54789569811</v>
      </c>
      <c r="M28" s="163">
        <f t="shared" si="4"/>
        <v>397720.40295379469</v>
      </c>
      <c r="N28" s="220"/>
      <c r="O28" s="219"/>
      <c r="Q28" s="3" t="s">
        <v>89</v>
      </c>
      <c r="R28" s="3" t="s">
        <v>292</v>
      </c>
      <c r="S28" s="85">
        <f>VLOOKUP($Q28,Iedz_sk!$B$14:$R$123,3,FALSE)*B$61</f>
        <v>67231.349721131992</v>
      </c>
      <c r="T28" s="85">
        <f>VLOOKUP($Q28,Iedz_sk!$B$14:$R$123,4,FALSE)*C$61</f>
        <v>65284.934860442248</v>
      </c>
      <c r="U28" s="85">
        <f>VLOOKUP($Q28,Iedz_sk!$B$14:$R$123,5,FALSE)*D$61</f>
        <v>68787.654223919133</v>
      </c>
      <c r="V28" s="85">
        <f>VLOOKUP($Q28,Iedz_sk!$B$14:$R$123,6,FALSE)*E$61</f>
        <v>73190.944366496929</v>
      </c>
      <c r="W28" s="85">
        <f>VLOOKUP($Q28,Iedz_sk!$B$14:$R$123,7,FALSE)*F$61</f>
        <v>81760.726039045607</v>
      </c>
      <c r="X28" s="85">
        <f>VLOOKUP($Q28,Iedz_sk!$B$14:$R$123,8,FALSE)*G$61</f>
        <v>85504.102227264579</v>
      </c>
      <c r="Y28" s="91">
        <f>VLOOKUP($Q28,Iedz_sk!$B$14:$R$123,9,FALSE)*H$61</f>
        <v>89470.765051965398</v>
      </c>
      <c r="Z28" s="91">
        <f>VLOOKUP($Q28,Iedz_sk!$B$14:$R$123,10,FALSE)*I$61</f>
        <v>84613.71155741642</v>
      </c>
      <c r="AA28" s="91">
        <f>VLOOKUP($Q28,Iedz_sk!$B$14:$R$123,11,FALSE)*J$61</f>
        <v>88684.247194200099</v>
      </c>
      <c r="AB28" s="91">
        <f>VLOOKUP($Q28,Iedz_sk!$B$14:$R$123,16,FALSE)*K$61</f>
        <v>93632.305827887758</v>
      </c>
      <c r="AC28" s="162">
        <f>VLOOKUP($Q28,Iedz_sk!$B$14:$R$123,17,FALSE)*L$61</f>
        <v>97634.391078634071</v>
      </c>
      <c r="AD28" s="163">
        <f>VLOOKUP($Q28,Iedz_sk!$B$14:$Y$123,24,FALSE)*M$61</f>
        <v>121963.59521551157</v>
      </c>
    </row>
    <row r="29" spans="1:30" x14ac:dyDescent="0.35">
      <c r="A29" s="215" t="s">
        <v>313</v>
      </c>
      <c r="B29" s="215"/>
      <c r="C29" s="215"/>
      <c r="D29" s="215"/>
      <c r="E29" s="215"/>
      <c r="F29" s="215"/>
      <c r="G29" s="215"/>
      <c r="H29" s="215"/>
      <c r="I29" s="215"/>
      <c r="J29" s="215"/>
      <c r="K29" s="215"/>
      <c r="L29" s="215"/>
      <c r="M29" s="215"/>
      <c r="N29" s="215"/>
      <c r="O29" s="215"/>
      <c r="Q29" s="3" t="s">
        <v>94</v>
      </c>
      <c r="R29" s="3" t="s">
        <v>292</v>
      </c>
      <c r="S29" s="85">
        <f>VLOOKUP($Q29,Iedz_sk!$B$14:$R$123,3,FALSE)*B$61</f>
        <v>80210.980375955376</v>
      </c>
      <c r="T29" s="85">
        <f>VLOOKUP($Q29,Iedz_sk!$B$14:$R$123,4,FALSE)*C$61</f>
        <v>77658.887392526667</v>
      </c>
      <c r="U29" s="85">
        <f>VLOOKUP($Q29,Iedz_sk!$B$14:$R$123,5,FALSE)*D$61</f>
        <v>81713.57312957797</v>
      </c>
      <c r="V29" s="85">
        <f>VLOOKUP($Q29,Iedz_sk!$B$14:$R$123,6,FALSE)*E$61</f>
        <v>86369.950183658337</v>
      </c>
      <c r="W29" s="85">
        <f>VLOOKUP($Q29,Iedz_sk!$B$14:$R$123,7,FALSE)*F$61</f>
        <v>93247.363201284665</v>
      </c>
      <c r="X29" s="85">
        <f>VLOOKUP($Q29,Iedz_sk!$B$14:$R$123,8,FALSE)*G$61</f>
        <v>93337.786887203678</v>
      </c>
      <c r="Y29" s="91">
        <f>VLOOKUP($Q29,Iedz_sk!$B$14:$R$123,9,FALSE)*H$61</f>
        <v>94629.015188119083</v>
      </c>
      <c r="Z29" s="91">
        <f>VLOOKUP($Q29,Iedz_sk!$B$14:$R$123,10,FALSE)*I$61</f>
        <v>91006.692263062752</v>
      </c>
      <c r="AA29" s="91">
        <f>VLOOKUP($Q29,Iedz_sk!$B$14:$R$123,11,FALSE)*J$61</f>
        <v>94470.258640749729</v>
      </c>
      <c r="AB29" s="91">
        <f>VLOOKUP($Q29,Iedz_sk!$B$14:$R$123,16,FALSE)*K$61</f>
        <v>97749.063650586293</v>
      </c>
      <c r="AC29" s="162">
        <f>VLOOKUP($Q29,Iedz_sk!$B$14:$R$123,17,FALSE)*L$61</f>
        <v>99855.943734448971</v>
      </c>
      <c r="AD29" s="163">
        <f>VLOOKUP($Q29,Iedz_sk!$B$14:$Y$123,24,FALSE)*M$61</f>
        <v>106850.25542710762</v>
      </c>
    </row>
    <row r="30" spans="1:30" x14ac:dyDescent="0.35">
      <c r="A30" s="7" t="s">
        <v>307</v>
      </c>
      <c r="B30" s="92">
        <f t="shared" ref="B30:G31" si="5">B15-B21</f>
        <v>3132228</v>
      </c>
      <c r="C30" s="92">
        <f t="shared" si="5"/>
        <v>3069669</v>
      </c>
      <c r="D30" s="92">
        <f t="shared" si="5"/>
        <v>3264467</v>
      </c>
      <c r="E30" s="92">
        <f t="shared" si="5"/>
        <v>3500770</v>
      </c>
      <c r="F30" s="92">
        <f t="shared" si="5"/>
        <v>3894721</v>
      </c>
      <c r="G30" s="92">
        <f t="shared" si="5"/>
        <v>4001001</v>
      </c>
      <c r="H30" s="91">
        <f t="shared" ref="H30:L34" si="6">G30*(1+H$9)</f>
        <v>4205990.0298002064</v>
      </c>
      <c r="I30" s="91">
        <f t="shared" si="6"/>
        <v>4050052.7786721792</v>
      </c>
      <c r="J30" s="91">
        <f t="shared" si="6"/>
        <v>4264705.5759418048</v>
      </c>
      <c r="K30" s="91">
        <f t="shared" si="6"/>
        <v>4482205.5603148369</v>
      </c>
      <c r="L30" s="91">
        <f t="shared" si="6"/>
        <v>4652529.3716068007</v>
      </c>
      <c r="M30" s="163">
        <f>L30*(1+M$9*(M$4-L$4))</f>
        <v>5629560.5396442283</v>
      </c>
      <c r="N30" s="3"/>
      <c r="O30" s="3"/>
      <c r="Q30" s="3" t="s">
        <v>96</v>
      </c>
      <c r="R30" s="3" t="s">
        <v>292</v>
      </c>
      <c r="S30" s="85">
        <f>VLOOKUP($Q30,Iedz_sk!$B$14:$R$123,3,FALSE)*B$61</f>
        <v>218751.87192728772</v>
      </c>
      <c r="T30" s="85">
        <f>VLOOKUP($Q30,Iedz_sk!$B$14:$R$123,4,FALSE)*C$61</f>
        <v>213694.96757519981</v>
      </c>
      <c r="U30" s="85">
        <f>VLOOKUP($Q30,Iedz_sk!$B$14:$R$123,5,FALSE)*D$61</f>
        <v>228005.40671713374</v>
      </c>
      <c r="V30" s="85">
        <f>VLOOKUP($Q30,Iedz_sk!$B$14:$R$123,6,FALSE)*E$61</f>
        <v>245136.13081519082</v>
      </c>
      <c r="W30" s="85">
        <f>VLOOKUP($Q30,Iedz_sk!$B$14:$R$123,7,FALSE)*F$61</f>
        <v>274435.82956427732</v>
      </c>
      <c r="X30" s="85">
        <f>VLOOKUP($Q30,Iedz_sk!$B$14:$R$123,8,FALSE)*G$61</f>
        <v>283609.5626082283</v>
      </c>
      <c r="Y30" s="91">
        <f>VLOOKUP($Q30,Iedz_sk!$B$14:$R$123,9,FALSE)*H$61</f>
        <v>296651.7508505244</v>
      </c>
      <c r="Z30" s="91">
        <f>VLOOKUP($Q30,Iedz_sk!$B$14:$R$123,10,FALSE)*I$61</f>
        <v>282808.55113810592</v>
      </c>
      <c r="AA30" s="91">
        <f>VLOOKUP($Q30,Iedz_sk!$B$14:$R$123,11,FALSE)*J$61</f>
        <v>296669.30439393915</v>
      </c>
      <c r="AB30" s="91">
        <f>VLOOKUP($Q30,Iedz_sk!$B$14:$R$123,16,FALSE)*K$61</f>
        <v>314802.0425417021</v>
      </c>
      <c r="AC30" s="162">
        <f>VLOOKUP($Q30,Iedz_sk!$B$14:$R$123,17,FALSE)*L$61</f>
        <v>329886.32866635913</v>
      </c>
      <c r="AD30" s="163">
        <f>VLOOKUP($Q30,Iedz_sk!$B$14:$Y$123,24,FALSE)*M$61</f>
        <v>426361.75941528846</v>
      </c>
    </row>
    <row r="31" spans="1:30" x14ac:dyDescent="0.35">
      <c r="A31" s="7" t="s">
        <v>308</v>
      </c>
      <c r="B31" s="92">
        <f t="shared" si="5"/>
        <v>1117303</v>
      </c>
      <c r="C31" s="92">
        <f t="shared" si="5"/>
        <v>1259081</v>
      </c>
      <c r="D31" s="92">
        <f t="shared" si="5"/>
        <v>1248480</v>
      </c>
      <c r="E31" s="92">
        <f t="shared" si="5"/>
        <v>1282200</v>
      </c>
      <c r="F31" s="92">
        <f t="shared" si="5"/>
        <v>1325207</v>
      </c>
      <c r="G31" s="92">
        <f t="shared" si="5"/>
        <v>1421291</v>
      </c>
      <c r="H31" s="91">
        <f t="shared" si="6"/>
        <v>1494110.042822975</v>
      </c>
      <c r="I31" s="91">
        <f t="shared" si="6"/>
        <v>1438715.8523208969</v>
      </c>
      <c r="J31" s="91">
        <f t="shared" si="6"/>
        <v>1514967.7924939045</v>
      </c>
      <c r="K31" s="91">
        <f t="shared" si="6"/>
        <v>1592231.1499110935</v>
      </c>
      <c r="L31" s="91">
        <f t="shared" si="6"/>
        <v>1652735.9336077152</v>
      </c>
      <c r="M31" s="163">
        <f t="shared" ref="M31:M34" si="7">L31*(1+M$9*(M$4-L$4))</f>
        <v>1999810.4796653353</v>
      </c>
      <c r="N31" s="3"/>
      <c r="O31" s="3"/>
      <c r="Q31" s="3" t="s">
        <v>98</v>
      </c>
      <c r="R31" s="3" t="s">
        <v>292</v>
      </c>
      <c r="S31" s="85">
        <f>VLOOKUP($Q31,Iedz_sk!$B$14:$R$123,3,FALSE)*B$61</f>
        <v>57398.593265854157</v>
      </c>
      <c r="T31" s="85">
        <f>VLOOKUP($Q31,Iedz_sk!$B$14:$R$123,4,FALSE)*C$61</f>
        <v>55852.093798063586</v>
      </c>
      <c r="U31" s="85">
        <f>VLOOKUP($Q31,Iedz_sk!$B$14:$R$123,5,FALSE)*D$61</f>
        <v>59034.180863811198</v>
      </c>
      <c r="V31" s="85">
        <f>VLOOKUP($Q31,Iedz_sk!$B$14:$R$123,6,FALSE)*E$61</f>
        <v>62804.474957829516</v>
      </c>
      <c r="W31" s="85">
        <f>VLOOKUP($Q31,Iedz_sk!$B$14:$R$123,7,FALSE)*F$61</f>
        <v>68870.576940584418</v>
      </c>
      <c r="X31" s="85">
        <f>VLOOKUP($Q31,Iedz_sk!$B$14:$R$123,8,FALSE)*G$61</f>
        <v>72313.837045440974</v>
      </c>
      <c r="Y31" s="91">
        <f>VLOOKUP($Q31,Iedz_sk!$B$14:$R$123,9,FALSE)*H$61</f>
        <v>85516.979414608999</v>
      </c>
      <c r="Z31" s="91">
        <f>VLOOKUP($Q31,Iedz_sk!$B$14:$R$123,10,FALSE)*I$61</f>
        <v>85459.475541820982</v>
      </c>
      <c r="AA31" s="91">
        <f>VLOOKUP($Q31,Iedz_sk!$B$14:$R$123,11,FALSE)*J$61</f>
        <v>91836.715314181172</v>
      </c>
      <c r="AB31" s="91">
        <f>VLOOKUP($Q31,Iedz_sk!$B$14:$R$123,16,FALSE)*K$61</f>
        <v>95068.384138131427</v>
      </c>
      <c r="AC31" s="162">
        <f>VLOOKUP($Q31,Iedz_sk!$B$14:$R$123,17,FALSE)*L$61</f>
        <v>97164.447247596312</v>
      </c>
      <c r="AD31" s="163">
        <f>VLOOKUP($Q31,Iedz_sk!$B$14:$Y$123,24,FALSE)*M$61</f>
        <v>104384.20930778763</v>
      </c>
    </row>
    <row r="32" spans="1:30" x14ac:dyDescent="0.35">
      <c r="A32" s="7" t="s">
        <v>309</v>
      </c>
      <c r="B32" s="92">
        <f t="shared" ref="B32:G32" si="8">B17-B23-B24</f>
        <v>1024519</v>
      </c>
      <c r="C32" s="92">
        <f t="shared" si="8"/>
        <v>1067571</v>
      </c>
      <c r="D32" s="92">
        <f t="shared" si="8"/>
        <v>1046281</v>
      </c>
      <c r="E32" s="92">
        <f t="shared" si="8"/>
        <v>1104438</v>
      </c>
      <c r="F32" s="92">
        <f t="shared" si="8"/>
        <v>1200471</v>
      </c>
      <c r="G32" s="92">
        <f t="shared" si="8"/>
        <v>1210655</v>
      </c>
      <c r="H32" s="91">
        <f t="shared" si="6"/>
        <v>1272682.2261548471</v>
      </c>
      <c r="I32" s="91">
        <f t="shared" si="6"/>
        <v>1225497.4809462351</v>
      </c>
      <c r="J32" s="91">
        <f t="shared" si="6"/>
        <v>1290448.8474363855</v>
      </c>
      <c r="K32" s="91">
        <f t="shared" si="6"/>
        <v>1356261.738655641</v>
      </c>
      <c r="L32" s="91">
        <f t="shared" si="6"/>
        <v>1407799.6847245554</v>
      </c>
      <c r="M32" s="163">
        <f>L32*(1+M$9*(M$4-L$4))</f>
        <v>1703437.618516712</v>
      </c>
      <c r="N32" s="3"/>
      <c r="O32" s="3"/>
      <c r="P32" s="82"/>
      <c r="Q32" s="3" t="s">
        <v>99</v>
      </c>
      <c r="R32" s="3" t="s">
        <v>292</v>
      </c>
      <c r="S32" s="85">
        <f>VLOOKUP($Q32,Iedz_sk!$B$14:$R$123,3,FALSE)*B$61</f>
        <v>22018.316050402809</v>
      </c>
      <c r="T32" s="85">
        <f>VLOOKUP($Q32,Iedz_sk!$B$14:$R$123,4,FALSE)*C$61</f>
        <v>21506.877622223343</v>
      </c>
      <c r="U32" s="85">
        <f>VLOOKUP($Q32,Iedz_sk!$B$14:$R$123,5,FALSE)*D$61</f>
        <v>22884.728547032202</v>
      </c>
      <c r="V32" s="85">
        <f>VLOOKUP($Q32,Iedz_sk!$B$14:$R$123,6,FALSE)*E$61</f>
        <v>24746.50841044882</v>
      </c>
      <c r="W32" s="85">
        <f>VLOOKUP($Q32,Iedz_sk!$B$14:$R$123,7,FALSE)*F$61</f>
        <v>26900.645444257589</v>
      </c>
      <c r="X32" s="85">
        <f>VLOOKUP($Q32,Iedz_sk!$B$14:$R$123,8,FALSE)*G$61</f>
        <v>27474.479906848985</v>
      </c>
      <c r="Y32" s="91">
        <f>VLOOKUP($Q32,Iedz_sk!$B$14:$R$123,9,FALSE)*H$61</f>
        <v>27859.787537398646</v>
      </c>
      <c r="Z32" s="91">
        <f>VLOOKUP($Q32,Iedz_sk!$B$14:$R$123,10,FALSE)*I$61</f>
        <v>26902.757327457253</v>
      </c>
      <c r="AA32" s="91">
        <f>VLOOKUP($Q32,Iedz_sk!$B$14:$R$123,11,FALSE)*J$61</f>
        <v>27905.1807657584</v>
      </c>
      <c r="AB32" s="91">
        <f>VLOOKUP($Q32,Iedz_sk!$B$14:$R$123,16,FALSE)*K$61</f>
        <v>29200.25897495477</v>
      </c>
      <c r="AC32" s="162">
        <f>VLOOKUP($Q32,Iedz_sk!$B$14:$R$123,17,FALSE)*L$61</f>
        <v>30190.330963638309</v>
      </c>
      <c r="AD32" s="163">
        <f>VLOOKUP($Q32,Iedz_sk!$B$14:$Y$123,24,FALSE)*M$61</f>
        <v>35422.991042517875</v>
      </c>
    </row>
    <row r="33" spans="1:30" x14ac:dyDescent="0.35">
      <c r="A33" s="7" t="s">
        <v>310</v>
      </c>
      <c r="B33" s="92">
        <f t="shared" ref="B33:G33" si="9">B18-B25-B26</f>
        <v>1032151</v>
      </c>
      <c r="C33" s="92">
        <f t="shared" si="9"/>
        <v>1113427</v>
      </c>
      <c r="D33" s="92">
        <f t="shared" si="9"/>
        <v>1145155</v>
      </c>
      <c r="E33" s="92">
        <f t="shared" si="9"/>
        <v>1161226</v>
      </c>
      <c r="F33" s="92">
        <f t="shared" si="9"/>
        <v>1180270</v>
      </c>
      <c r="G33" s="92">
        <f t="shared" si="9"/>
        <v>1205418</v>
      </c>
      <c r="H33" s="91">
        <f t="shared" si="6"/>
        <v>1267176.9114133453</v>
      </c>
      <c r="I33" s="91">
        <f t="shared" si="6"/>
        <v>1220196.2759723032</v>
      </c>
      <c r="J33" s="91">
        <f t="shared" si="6"/>
        <v>1284866.6785988351</v>
      </c>
      <c r="K33" s="91">
        <f t="shared" si="6"/>
        <v>1350394.8792073757</v>
      </c>
      <c r="L33" s="91">
        <f t="shared" si="6"/>
        <v>1401709.884617256</v>
      </c>
      <c r="M33" s="163">
        <f t="shared" si="7"/>
        <v>1696068.9603868797</v>
      </c>
      <c r="N33" s="3"/>
      <c r="O33" s="3"/>
      <c r="P33" s="82"/>
      <c r="Q33" s="3" t="s">
        <v>100</v>
      </c>
      <c r="R33" s="3" t="s">
        <v>292</v>
      </c>
      <c r="S33" s="85">
        <f>VLOOKUP($Q33,Iedz_sk!$B$14:$R$123,3,FALSE)*B$61</f>
        <v>167196.07312538731</v>
      </c>
      <c r="T33" s="85">
        <f>VLOOKUP($Q33,Iedz_sk!$B$14:$R$123,4,FALSE)*C$61</f>
        <v>165601.99022024154</v>
      </c>
      <c r="U33" s="85">
        <f>VLOOKUP($Q33,Iedz_sk!$B$14:$R$123,5,FALSE)*D$61</f>
        <v>177841.75320398915</v>
      </c>
      <c r="V33" s="85">
        <f>VLOOKUP($Q33,Iedz_sk!$B$14:$R$123,6,FALSE)*E$61</f>
        <v>191360.48898838143</v>
      </c>
      <c r="W33" s="85">
        <f>VLOOKUP($Q33,Iedz_sk!$B$14:$R$123,7,FALSE)*F$61</f>
        <v>212472.00873089131</v>
      </c>
      <c r="X33" s="85">
        <f>VLOOKUP($Q33,Iedz_sk!$B$14:$R$123,8,FALSE)*G$61</f>
        <v>217997.73828148324</v>
      </c>
      <c r="Y33" s="91">
        <f>VLOOKUP($Q33,Iedz_sk!$B$14:$R$123,9,FALSE)*H$61</f>
        <v>232527.10829498936</v>
      </c>
      <c r="Z33" s="91">
        <f>VLOOKUP($Q33,Iedz_sk!$B$14:$R$123,10,FALSE)*I$61</f>
        <v>224550.33785941437</v>
      </c>
      <c r="AA33" s="91">
        <f>VLOOKUP($Q33,Iedz_sk!$B$14:$R$123,11,FALSE)*J$61</f>
        <v>234566.97974229552</v>
      </c>
      <c r="AB33" s="91">
        <f>VLOOKUP($Q33,Iedz_sk!$B$14:$R$123,16,FALSE)*K$61</f>
        <v>247566.22374972192</v>
      </c>
      <c r="AC33" s="162">
        <f>VLOOKUP($Q33,Iedz_sk!$B$14:$R$123,17,FALSE)*L$61</f>
        <v>258056.12612834424</v>
      </c>
      <c r="AD33" s="163">
        <f>VLOOKUP($Q33,Iedz_sk!$B$14:$Y$123,24,FALSE)*M$61</f>
        <v>321625.25780474086</v>
      </c>
    </row>
    <row r="34" spans="1:30" x14ac:dyDescent="0.35">
      <c r="A34" s="7" t="s">
        <v>311</v>
      </c>
      <c r="B34" s="92">
        <f t="shared" ref="B34:G34" si="10">B19-B27-B28</f>
        <v>736036</v>
      </c>
      <c r="C34" s="92">
        <f t="shared" si="10"/>
        <v>742924</v>
      </c>
      <c r="D34" s="92">
        <f t="shared" si="10"/>
        <v>765516</v>
      </c>
      <c r="E34" s="92">
        <f t="shared" si="10"/>
        <v>774542</v>
      </c>
      <c r="F34" s="92">
        <f t="shared" si="10"/>
        <v>848787</v>
      </c>
      <c r="G34" s="92">
        <f t="shared" si="10"/>
        <v>895879</v>
      </c>
      <c r="H34" s="91">
        <f t="shared" si="6"/>
        <v>941778.85531830147</v>
      </c>
      <c r="I34" s="91">
        <f t="shared" si="6"/>
        <v>906862.36601891718</v>
      </c>
      <c r="J34" s="91">
        <f t="shared" si="6"/>
        <v>954926.07141791971</v>
      </c>
      <c r="K34" s="91">
        <f t="shared" si="6"/>
        <v>1003627.3010602335</v>
      </c>
      <c r="L34" s="91">
        <f t="shared" si="6"/>
        <v>1041765.1385005224</v>
      </c>
      <c r="M34" s="163">
        <f t="shared" si="7"/>
        <v>1260535.817585632</v>
      </c>
      <c r="N34" s="3"/>
      <c r="O34" s="3"/>
      <c r="P34" s="82"/>
      <c r="Q34" s="3" t="s">
        <v>104</v>
      </c>
      <c r="R34" s="3" t="s">
        <v>292</v>
      </c>
      <c r="S34" s="85">
        <f>VLOOKUP($Q34,Iedz_sk!$B$14:$R$123,3,FALSE)*B$61</f>
        <v>100356.8572608965</v>
      </c>
      <c r="T34" s="85">
        <f>VLOOKUP($Q34,Iedz_sk!$B$14:$R$123,4,FALSE)*C$61</f>
        <v>98633.656031744031</v>
      </c>
      <c r="U34" s="85">
        <f>VLOOKUP($Q34,Iedz_sk!$B$14:$R$123,5,FALSE)*D$61</f>
        <v>104916.57291257159</v>
      </c>
      <c r="V34" s="85">
        <f>VLOOKUP($Q34,Iedz_sk!$B$14:$R$123,6,FALSE)*E$61</f>
        <v>112992.8664575221</v>
      </c>
      <c r="W34" s="85">
        <f>VLOOKUP($Q34,Iedz_sk!$B$14:$R$123,7,FALSE)*F$61</f>
        <v>126722.35403100384</v>
      </c>
      <c r="X34" s="85">
        <f>VLOOKUP($Q34,Iedz_sk!$B$14:$R$123,8,FALSE)*G$61</f>
        <v>131927.80008359705</v>
      </c>
      <c r="Y34" s="91">
        <f>VLOOKUP($Q34,Iedz_sk!$B$14:$R$123,9,FALSE)*H$61</f>
        <v>141982.79879844375</v>
      </c>
      <c r="Z34" s="91">
        <f>VLOOKUP($Q34,Iedz_sk!$B$14:$R$123,10,FALSE)*I$61</f>
        <v>143817.19046573658</v>
      </c>
      <c r="AA34" s="91">
        <f>VLOOKUP($Q34,Iedz_sk!$B$14:$R$123,11,FALSE)*J$61</f>
        <v>158285.03511065469</v>
      </c>
      <c r="AB34" s="91">
        <f>VLOOKUP($Q34,Iedz_sk!$B$14:$R$123,16,FALSE)*K$61</f>
        <v>165436.22134007161</v>
      </c>
      <c r="AC34" s="162">
        <f>VLOOKUP($Q34,Iedz_sk!$B$14:$R$123,17,FALSE)*L$61</f>
        <v>170774.74005469368</v>
      </c>
      <c r="AD34" s="163">
        <f>VLOOKUP($Q34,Iedz_sk!$B$14:$Y$123,24,FALSE)*M$61</f>
        <v>198322.95183874128</v>
      </c>
    </row>
    <row r="35" spans="1:30" x14ac:dyDescent="0.35">
      <c r="A35" s="225" t="s">
        <v>404</v>
      </c>
      <c r="B35" s="225"/>
      <c r="C35" s="225"/>
      <c r="D35" s="225"/>
      <c r="E35" s="225"/>
      <c r="F35" s="225"/>
      <c r="G35" s="225"/>
      <c r="H35" s="95">
        <f t="shared" ref="H35:M35" si="11">SUM(H20:H34)</f>
        <v>30594011.666551348</v>
      </c>
      <c r="I35" s="95">
        <f t="shared" si="11"/>
        <v>29459737.441824425</v>
      </c>
      <c r="J35" s="95">
        <f t="shared" si="11"/>
        <v>31021103.526241116</v>
      </c>
      <c r="K35" s="95">
        <f t="shared" si="11"/>
        <v>32603179.806079414</v>
      </c>
      <c r="L35" s="95">
        <f t="shared" si="11"/>
        <v>33842100.638710424</v>
      </c>
      <c r="M35" s="95">
        <f t="shared" si="11"/>
        <v>40948941.772839613</v>
      </c>
      <c r="P35" s="82"/>
      <c r="Q35" s="3" t="s">
        <v>108</v>
      </c>
      <c r="R35" s="3" t="s">
        <v>292</v>
      </c>
      <c r="S35" s="85">
        <f>VLOOKUP($Q35,Iedz_sk!$B$14:$R$123,3,FALSE)*B$61</f>
        <v>291345.65213798801</v>
      </c>
      <c r="T35" s="85">
        <f>VLOOKUP($Q35,Iedz_sk!$B$14:$R$123,4,FALSE)*C$61</f>
        <v>282278.97813027911</v>
      </c>
      <c r="U35" s="85">
        <f>VLOOKUP($Q35,Iedz_sk!$B$14:$R$123,5,FALSE)*D$61</f>
        <v>298446.0180052396</v>
      </c>
      <c r="V35" s="85">
        <f>VLOOKUP($Q35,Iedz_sk!$B$14:$R$123,6,FALSE)*E$61</f>
        <v>316527.93117147224</v>
      </c>
      <c r="W35" s="85">
        <f>VLOOKUP($Q35,Iedz_sk!$B$14:$R$123,7,FALSE)*F$61</f>
        <v>347443.07326425327</v>
      </c>
      <c r="X35" s="85">
        <f>VLOOKUP($Q35,Iedz_sk!$B$14:$R$123,8,FALSE)*G$61</f>
        <v>350830.87591807486</v>
      </c>
      <c r="Y35" s="91">
        <f>VLOOKUP($Q35,Iedz_sk!$B$14:$R$123,9,FALSE)*H$61</f>
        <v>364586.16698377702</v>
      </c>
      <c r="Z35" s="91">
        <f>VLOOKUP($Q35,Iedz_sk!$B$14:$R$123,10,FALSE)*I$61</f>
        <v>344499.57117702777</v>
      </c>
      <c r="AA35" s="91">
        <f>VLOOKUP($Q35,Iedz_sk!$B$14:$R$123,11,FALSE)*J$61</f>
        <v>358239.73113233491</v>
      </c>
      <c r="AB35" s="91">
        <f>VLOOKUP($Q35,Iedz_sk!$B$14:$R$123,16,FALSE)*K$61</f>
        <v>371465.58958303119</v>
      </c>
      <c r="AC35" s="162">
        <f>VLOOKUP($Q35,Iedz_sk!$B$14:$R$123,17,FALSE)*L$61</f>
        <v>380326.96653107938</v>
      </c>
      <c r="AD35" s="163">
        <f>VLOOKUP($Q35,Iedz_sk!$B$14:$Y$123,24,FALSE)*M$61</f>
        <v>414489.50881227653</v>
      </c>
    </row>
    <row r="36" spans="1:30" x14ac:dyDescent="0.35">
      <c r="A36" s="215" t="s">
        <v>405</v>
      </c>
      <c r="B36" s="215"/>
      <c r="C36" s="215"/>
      <c r="D36" s="215"/>
      <c r="E36" s="215"/>
      <c r="F36" s="215"/>
      <c r="G36" s="215"/>
      <c r="H36" s="215"/>
      <c r="I36" s="215"/>
      <c r="J36" s="215"/>
      <c r="K36" s="215"/>
      <c r="L36" s="215"/>
      <c r="M36" s="215"/>
      <c r="N36" s="215"/>
      <c r="O36" s="215"/>
      <c r="P36" s="82"/>
      <c r="Q36" s="3" t="s">
        <v>16</v>
      </c>
      <c r="R36" s="3" t="s">
        <v>294</v>
      </c>
      <c r="S36" s="85">
        <f>VLOOKUP($Q36,Iedz_sk!$B$14:$R$123,3,FALSE)*B$62</f>
        <v>100945.29885924025</v>
      </c>
      <c r="T36" s="85">
        <f>VLOOKUP($Q36,Iedz_sk!$B$14:$R$123,4,FALSE)*C$62</f>
        <v>112814.24526248472</v>
      </c>
      <c r="U36" s="85">
        <f>VLOOKUP($Q36,Iedz_sk!$B$14:$R$123,5,FALSE)*D$62</f>
        <v>111257.23989863037</v>
      </c>
      <c r="V36" s="85">
        <f>VLOOKUP($Q36,Iedz_sk!$B$14:$R$123,6,FALSE)*E$62</f>
        <v>114162.18929088279</v>
      </c>
      <c r="W36" s="85">
        <f>VLOOKUP($Q36,Iedz_sk!$B$14:$R$123,7,FALSE)*F$62</f>
        <v>116921.94933454953</v>
      </c>
      <c r="X36" s="85">
        <f>VLOOKUP($Q36,Iedz_sk!$B$14:$R$123,8,FALSE)*G$62</f>
        <v>124335.36248949713</v>
      </c>
      <c r="Y36" s="91">
        <f>VLOOKUP($Q36,Iedz_sk!$B$14:$R$123,9,FALSE)*H$62</f>
        <v>129754.79803689984</v>
      </c>
      <c r="Z36" s="91">
        <f>VLOOKUP($Q36,Iedz_sk!$B$14:$R$123,10,FALSE)*I$62</f>
        <v>124397.41361339488</v>
      </c>
      <c r="AA36" s="91">
        <f>VLOOKUP($Q36,Iedz_sk!$B$14:$R$123,11,FALSE)*J$62</f>
        <v>130893.41369186182</v>
      </c>
      <c r="AB36" s="91">
        <f>VLOOKUP($Q36,Iedz_sk!$B$14:$R$123,16,FALSE)*K$62</f>
        <v>136451.99055149566</v>
      </c>
      <c r="AC36" s="162">
        <f>VLOOKUP($Q36,Iedz_sk!$B$14:$R$123,17,FALSE)*L$62</f>
        <v>140408.77439595995</v>
      </c>
      <c r="AD36" s="163">
        <f>VLOOKUP($Q36,Iedz_sk!$B$14:$Y$123,24,FALSE)*M$62</f>
        <v>157135.95206718461</v>
      </c>
    </row>
    <row r="37" spans="1:30" ht="14.4" customHeight="1" x14ac:dyDescent="0.35">
      <c r="A37" s="19" t="s">
        <v>1</v>
      </c>
      <c r="B37" s="3">
        <v>643615</v>
      </c>
      <c r="C37" s="3">
        <v>643368</v>
      </c>
      <c r="D37" s="3">
        <v>641007</v>
      </c>
      <c r="E37" s="3">
        <v>639630</v>
      </c>
      <c r="F37" s="3">
        <v>641423</v>
      </c>
      <c r="G37" s="3">
        <v>637971</v>
      </c>
      <c r="H37" s="3">
        <v>632614</v>
      </c>
      <c r="I37" s="3">
        <v>621120</v>
      </c>
      <c r="J37" s="3">
        <v>614618</v>
      </c>
      <c r="K37" s="93">
        <v>615772</v>
      </c>
      <c r="L37" s="93">
        <v>616925</v>
      </c>
      <c r="M37" s="169">
        <v>625000</v>
      </c>
      <c r="N37" s="229" t="s">
        <v>403</v>
      </c>
      <c r="O37" s="226" t="s">
        <v>120</v>
      </c>
      <c r="P37" s="82"/>
      <c r="Q37" s="3" t="s">
        <v>17</v>
      </c>
      <c r="R37" s="3" t="s">
        <v>294</v>
      </c>
      <c r="S37" s="85">
        <f>VLOOKUP($Q37,Iedz_sk!$B$14:$R$123,3,FALSE)*B$62</f>
        <v>34363.702967736252</v>
      </c>
      <c r="T37" s="85">
        <f>VLOOKUP($Q37,Iedz_sk!$B$14:$R$123,4,FALSE)*C$62</f>
        <v>38579.477061338061</v>
      </c>
      <c r="U37" s="85">
        <f>VLOOKUP($Q37,Iedz_sk!$B$14:$R$123,5,FALSE)*D$62</f>
        <v>38308.666192089753</v>
      </c>
      <c r="V37" s="85">
        <f>VLOOKUP($Q37,Iedz_sk!$B$14:$R$123,6,FALSE)*E$62</f>
        <v>39612.74327062229</v>
      </c>
      <c r="W37" s="85">
        <f>VLOOKUP($Q37,Iedz_sk!$B$14:$R$123,7,FALSE)*F$62</f>
        <v>40525.511843063854</v>
      </c>
      <c r="X37" s="85">
        <f>VLOOKUP($Q37,Iedz_sk!$B$14:$R$123,8,FALSE)*G$62</f>
        <v>42982.989119330719</v>
      </c>
      <c r="Y37" s="91">
        <f>VLOOKUP($Q37,Iedz_sk!$B$14:$R$123,9,FALSE)*H$62</f>
        <v>45684.177108589829</v>
      </c>
      <c r="Z37" s="91">
        <f>VLOOKUP($Q37,Iedz_sk!$B$14:$R$123,10,FALSE)*I$62</f>
        <v>44694.529816399809</v>
      </c>
      <c r="AA37" s="91">
        <f>VLOOKUP($Q37,Iedz_sk!$B$14:$R$123,11,FALSE)*J$62</f>
        <v>47613.0576317991</v>
      </c>
      <c r="AB37" s="91">
        <f>VLOOKUP($Q37,Iedz_sk!$B$14:$R$123,16,FALSE)*K$62</f>
        <v>49785.164088036385</v>
      </c>
      <c r="AC37" s="162">
        <f>VLOOKUP($Q37,Iedz_sk!$B$14:$R$123,17,FALSE)*L$62</f>
        <v>51397.518739496656</v>
      </c>
      <c r="AD37" s="163">
        <f>VLOOKUP($Q37,Iedz_sk!$B$14:$Y$123,24,FALSE)*M$62</f>
        <v>59270.440282681928</v>
      </c>
    </row>
    <row r="38" spans="1:30" x14ac:dyDescent="0.35">
      <c r="A38" s="19" t="s">
        <v>4</v>
      </c>
      <c r="B38" s="3">
        <v>50481</v>
      </c>
      <c r="C38" s="3">
        <v>49750</v>
      </c>
      <c r="D38" s="3">
        <v>49646</v>
      </c>
      <c r="E38" s="3">
        <v>49182</v>
      </c>
      <c r="F38" s="3">
        <v>48606</v>
      </c>
      <c r="G38" s="3">
        <v>49073</v>
      </c>
      <c r="H38" s="3">
        <v>49325</v>
      </c>
      <c r="I38" s="3">
        <v>49985</v>
      </c>
      <c r="J38" s="3">
        <v>50248</v>
      </c>
      <c r="K38" s="93">
        <v>49821</v>
      </c>
      <c r="L38" s="93">
        <v>49394</v>
      </c>
      <c r="M38" s="169">
        <v>46404</v>
      </c>
      <c r="N38" s="230"/>
      <c r="O38" s="227"/>
      <c r="P38" s="82"/>
      <c r="Q38" s="3" t="s">
        <v>18</v>
      </c>
      <c r="R38" s="3" t="s">
        <v>294</v>
      </c>
      <c r="S38" s="85">
        <f>VLOOKUP($Q38,Iedz_sk!$B$14:$R$123,3,FALSE)*B$62</f>
        <v>22859.947689039793</v>
      </c>
      <c r="T38" s="85">
        <f>VLOOKUP($Q38,Iedz_sk!$B$14:$R$123,4,FALSE)*C$62</f>
        <v>25731.423459255686</v>
      </c>
      <c r="U38" s="85">
        <f>VLOOKUP($Q38,Iedz_sk!$B$14:$R$123,5,FALSE)*D$62</f>
        <v>25446.680828041801</v>
      </c>
      <c r="V38" s="85">
        <f>VLOOKUP($Q38,Iedz_sk!$B$14:$R$123,6,FALSE)*E$62</f>
        <v>26185.826917510854</v>
      </c>
      <c r="W38" s="85">
        <f>VLOOKUP($Q38,Iedz_sk!$B$14:$R$123,7,FALSE)*F$62</f>
        <v>26805.079012989168</v>
      </c>
      <c r="X38" s="85">
        <f>VLOOKUP($Q38,Iedz_sk!$B$14:$R$123,8,FALSE)*G$62</f>
        <v>28738.376694815361</v>
      </c>
      <c r="Y38" s="91">
        <f>VLOOKUP($Q38,Iedz_sk!$B$14:$R$123,9,FALSE)*H$62</f>
        <v>30208.581892996888</v>
      </c>
      <c r="Z38" s="91">
        <f>VLOOKUP($Q38,Iedz_sk!$B$14:$R$123,10,FALSE)*I$62</f>
        <v>28863.741521684504</v>
      </c>
      <c r="AA38" s="91">
        <f>VLOOKUP($Q38,Iedz_sk!$B$14:$R$123,11,FALSE)*J$62</f>
        <v>30265.737744925846</v>
      </c>
      <c r="AB38" s="91">
        <f>VLOOKUP($Q38,Iedz_sk!$B$14:$R$123,16,FALSE)*K$62</f>
        <v>31740.582165515443</v>
      </c>
      <c r="AC38" s="162">
        <f>VLOOKUP($Q38,Iedz_sk!$B$14:$R$123,17,FALSE)*L$62</f>
        <v>32871.511039152654</v>
      </c>
      <c r="AD38" s="163">
        <f>VLOOKUP($Q38,Iedz_sk!$B$14:$Y$123,24,FALSE)*M$62</f>
        <v>38988.73808180671</v>
      </c>
    </row>
    <row r="39" spans="1:30" x14ac:dyDescent="0.35">
      <c r="A39" s="19" t="s">
        <v>8</v>
      </c>
      <c r="B39" s="3">
        <v>24228</v>
      </c>
      <c r="C39" s="3">
        <v>23657</v>
      </c>
      <c r="D39" s="3">
        <v>23432</v>
      </c>
      <c r="E39" s="3">
        <v>23248</v>
      </c>
      <c r="F39" s="3">
        <v>22961</v>
      </c>
      <c r="G39" s="3">
        <v>23063</v>
      </c>
      <c r="H39" s="3">
        <v>23125</v>
      </c>
      <c r="I39" s="3">
        <v>23018</v>
      </c>
      <c r="J39" s="3">
        <v>22971</v>
      </c>
      <c r="K39" s="93">
        <v>22974</v>
      </c>
      <c r="L39" s="93">
        <v>22977</v>
      </c>
      <c r="M39" s="169">
        <v>23000</v>
      </c>
      <c r="N39" s="230"/>
      <c r="O39" s="227"/>
      <c r="P39" s="82"/>
      <c r="Q39" s="3" t="s">
        <v>26</v>
      </c>
      <c r="R39" s="3" t="s">
        <v>294</v>
      </c>
      <c r="S39" s="85">
        <f>VLOOKUP($Q39,Iedz_sk!$B$14:$R$123,3,FALSE)*B$62</f>
        <v>20283.745945707979</v>
      </c>
      <c r="T39" s="85">
        <f>VLOOKUP($Q39,Iedz_sk!$B$14:$R$123,4,FALSE)*C$62</f>
        <v>22821.364039762593</v>
      </c>
      <c r="U39" s="85">
        <f>VLOOKUP($Q39,Iedz_sk!$B$14:$R$123,5,FALSE)*D$62</f>
        <v>22652.451835188931</v>
      </c>
      <c r="V39" s="85">
        <f>VLOOKUP($Q39,Iedz_sk!$B$14:$R$123,6,FALSE)*E$62</f>
        <v>23305.979739507959</v>
      </c>
      <c r="W39" s="85">
        <f>VLOOKUP($Q39,Iedz_sk!$B$14:$R$123,7,FALSE)*F$62</f>
        <v>23947.963709701304</v>
      </c>
      <c r="X39" s="85">
        <f>VLOOKUP($Q39,Iedz_sk!$B$14:$R$123,8,FALSE)*G$62</f>
        <v>25825.877532022416</v>
      </c>
      <c r="Y39" s="91">
        <f>VLOOKUP($Q39,Iedz_sk!$B$14:$R$123,9,FALSE)*H$62</f>
        <v>27036.451594066108</v>
      </c>
      <c r="Z39" s="91">
        <f>VLOOKUP($Q39,Iedz_sk!$B$14:$R$123,10,FALSE)*I$62</f>
        <v>26473.186242281186</v>
      </c>
      <c r="AA39" s="91">
        <f>VLOOKUP($Q39,Iedz_sk!$B$14:$R$123,11,FALSE)*J$62</f>
        <v>27838.812752587019</v>
      </c>
      <c r="AB39" s="91">
        <f>VLOOKUP($Q39,Iedz_sk!$B$14:$R$123,16,FALSE)*K$62</f>
        <v>29413.887762217419</v>
      </c>
      <c r="AC39" s="162">
        <f>VLOOKUP($Q39,Iedz_sk!$B$14:$R$123,17,FALSE)*L$62</f>
        <v>30700.24133199863</v>
      </c>
      <c r="AD39" s="163">
        <f>VLOOKUP($Q39,Iedz_sk!$B$14:$Y$123,24,FALSE)*M$62</f>
        <v>38878.511439410649</v>
      </c>
    </row>
    <row r="40" spans="1:30" x14ac:dyDescent="0.35">
      <c r="A40" s="19" t="s">
        <v>6</v>
      </c>
      <c r="B40" s="3">
        <v>73469</v>
      </c>
      <c r="C40" s="3">
        <v>71926</v>
      </c>
      <c r="D40" s="3">
        <v>71125</v>
      </c>
      <c r="E40" s="3">
        <v>70630</v>
      </c>
      <c r="F40" s="3">
        <v>69443</v>
      </c>
      <c r="G40" s="3">
        <v>69180</v>
      </c>
      <c r="H40" s="3">
        <v>68945</v>
      </c>
      <c r="I40" s="3">
        <v>68313</v>
      </c>
      <c r="J40" s="3">
        <v>67964</v>
      </c>
      <c r="K40" s="93">
        <v>66775</v>
      </c>
      <c r="L40" s="93">
        <v>65587</v>
      </c>
      <c r="M40" s="169">
        <v>57267</v>
      </c>
      <c r="N40" s="230"/>
      <c r="O40" s="227"/>
      <c r="P40" s="82"/>
      <c r="Q40" s="3" t="s">
        <v>28</v>
      </c>
      <c r="R40" s="3" t="s">
        <v>294</v>
      </c>
      <c r="S40" s="85">
        <f>VLOOKUP($Q40,Iedz_sk!$B$14:$R$123,3,FALSE)*B$62</f>
        <v>50183.672145761906</v>
      </c>
      <c r="T40" s="85">
        <f>VLOOKUP($Q40,Iedz_sk!$B$14:$R$123,4,FALSE)*C$62</f>
        <v>57410.104275824931</v>
      </c>
      <c r="U40" s="85">
        <f>VLOOKUP($Q40,Iedz_sk!$B$14:$R$123,5,FALSE)*D$62</f>
        <v>57676.299211253172</v>
      </c>
      <c r="V40" s="85">
        <f>VLOOKUP($Q40,Iedz_sk!$B$14:$R$123,6,FALSE)*E$62</f>
        <v>60491.635311143269</v>
      </c>
      <c r="W40" s="85">
        <f>VLOOKUP($Q40,Iedz_sk!$B$14:$R$123,7,FALSE)*F$62</f>
        <v>62613.210918481578</v>
      </c>
      <c r="X40" s="85">
        <f>VLOOKUP($Q40,Iedz_sk!$B$14:$R$123,8,FALSE)*G$62</f>
        <v>65157.503394164334</v>
      </c>
      <c r="Y40" s="91">
        <f>VLOOKUP($Q40,Iedz_sk!$B$14:$R$123,9,FALSE)*H$62</f>
        <v>68622.529732649986</v>
      </c>
      <c r="Z40" s="91">
        <f>VLOOKUP($Q40,Iedz_sk!$B$14:$R$123,10,FALSE)*I$62</f>
        <v>65784.539725802417</v>
      </c>
      <c r="AA40" s="91">
        <f>VLOOKUP($Q40,Iedz_sk!$B$14:$R$123,11,FALSE)*J$62</f>
        <v>69974.763397784875</v>
      </c>
      <c r="AB40" s="91">
        <f>VLOOKUP($Q40,Iedz_sk!$B$14:$R$123,16,FALSE)*K$62</f>
        <v>74311.977579571045</v>
      </c>
      <c r="AC40" s="162">
        <f>VLOOKUP($Q40,Iedz_sk!$B$14:$R$123,17,FALSE)*L$62</f>
        <v>77971.267394217488</v>
      </c>
      <c r="AD40" s="163">
        <f>VLOOKUP($Q40,Iedz_sk!$B$14:$Y$123,24,FALSE)*M$62</f>
        <v>103061.910640317</v>
      </c>
    </row>
    <row r="41" spans="1:30" x14ac:dyDescent="0.35">
      <c r="A41" s="19" t="s">
        <v>9</v>
      </c>
      <c r="B41" s="3">
        <v>37336</v>
      </c>
      <c r="C41" s="3">
        <v>36677</v>
      </c>
      <c r="D41" s="3">
        <v>36274</v>
      </c>
      <c r="E41" s="3">
        <v>35903</v>
      </c>
      <c r="F41" s="3">
        <v>35362</v>
      </c>
      <c r="G41" s="3">
        <v>34855</v>
      </c>
      <c r="H41" s="3">
        <v>34377</v>
      </c>
      <c r="I41" s="3">
        <v>33799</v>
      </c>
      <c r="J41" s="3">
        <v>33372</v>
      </c>
      <c r="K41" s="93">
        <v>32851</v>
      </c>
      <c r="L41" s="93">
        <v>32329</v>
      </c>
      <c r="M41" s="169">
        <v>28680</v>
      </c>
      <c r="N41" s="230"/>
      <c r="O41" s="227"/>
      <c r="P41" s="82"/>
      <c r="Q41" s="3" t="s">
        <v>30</v>
      </c>
      <c r="R41" s="3" t="s">
        <v>294</v>
      </c>
      <c r="S41" s="85">
        <f>VLOOKUP($Q41,Iedz_sk!$B$14:$R$123,3,FALSE)*B$62</f>
        <v>17055.808200483159</v>
      </c>
      <c r="T41" s="85">
        <f>VLOOKUP($Q41,Iedz_sk!$B$14:$R$123,4,FALSE)*C$62</f>
        <v>19049.587996050668</v>
      </c>
      <c r="U41" s="85">
        <f>VLOOKUP($Q41,Iedz_sk!$B$14:$R$123,5,FALSE)*D$62</f>
        <v>18606.863293373957</v>
      </c>
      <c r="V41" s="85">
        <f>VLOOKUP($Q41,Iedz_sk!$B$14:$R$123,6,FALSE)*E$62</f>
        <v>19001.053545586106</v>
      </c>
      <c r="W41" s="85">
        <f>VLOOKUP($Q41,Iedz_sk!$B$14:$R$123,7,FALSE)*F$62</f>
        <v>19599.497011840103</v>
      </c>
      <c r="X41" s="85">
        <f>VLOOKUP($Q41,Iedz_sk!$B$14:$R$123,8,FALSE)*G$62</f>
        <v>20808.474844497101</v>
      </c>
      <c r="Y41" s="91">
        <f>VLOOKUP($Q41,Iedz_sk!$B$14:$R$123,9,FALSE)*H$62</f>
        <v>21443.967541037851</v>
      </c>
      <c r="Z41" s="91">
        <f>VLOOKUP($Q41,Iedz_sk!$B$14:$R$123,10,FALSE)*I$62</f>
        <v>20443.674593119486</v>
      </c>
      <c r="AA41" s="91">
        <f>VLOOKUP($Q41,Iedz_sk!$B$14:$R$123,11,FALSE)*J$62</f>
        <v>21275.727656573457</v>
      </c>
      <c r="AB41" s="91">
        <f>VLOOKUP($Q41,Iedz_sk!$B$14:$R$123,16,FALSE)*K$62</f>
        <v>22332.202176633466</v>
      </c>
      <c r="AC41" s="162">
        <f>VLOOKUP($Q41,Iedz_sk!$B$14:$R$123,17,FALSE)*L$62</f>
        <v>23160.210209642879</v>
      </c>
      <c r="AD41" s="163">
        <f>VLOOKUP($Q41,Iedz_sk!$B$14:$Y$123,24,FALSE)*M$62</f>
        <v>27745.620557408489</v>
      </c>
    </row>
    <row r="42" spans="1:30" x14ac:dyDescent="0.35">
      <c r="A42" s="19" t="s">
        <v>5</v>
      </c>
      <c r="B42" s="3">
        <v>57773</v>
      </c>
      <c r="C42" s="3">
        <v>57332</v>
      </c>
      <c r="D42" s="3">
        <v>57180</v>
      </c>
      <c r="E42" s="3">
        <v>57053</v>
      </c>
      <c r="F42" s="3">
        <v>56743</v>
      </c>
      <c r="G42" s="3">
        <v>56383</v>
      </c>
      <c r="H42" s="3">
        <v>55972</v>
      </c>
      <c r="I42" s="3">
        <v>55517</v>
      </c>
      <c r="J42" s="3">
        <v>55336</v>
      </c>
      <c r="K42" s="93">
        <v>54885</v>
      </c>
      <c r="L42" s="93">
        <v>54435</v>
      </c>
      <c r="M42" s="169">
        <v>51280</v>
      </c>
      <c r="N42" s="230"/>
      <c r="O42" s="227"/>
      <c r="P42" s="82"/>
      <c r="Q42" s="3" t="s">
        <v>31</v>
      </c>
      <c r="R42" s="3" t="s">
        <v>294</v>
      </c>
      <c r="S42" s="85">
        <f>VLOOKUP($Q42,Iedz_sk!$B$14:$R$123,3,FALSE)*B$62</f>
        <v>107837.71450190127</v>
      </c>
      <c r="T42" s="85">
        <f>VLOOKUP($Q42,Iedz_sk!$B$14:$R$123,4,FALSE)*C$62</f>
        <v>121777.51080456417</v>
      </c>
      <c r="U42" s="85">
        <f>VLOOKUP($Q42,Iedz_sk!$B$14:$R$123,5,FALSE)*D$62</f>
        <v>121147.24633389333</v>
      </c>
      <c r="V42" s="85">
        <f>VLOOKUP($Q42,Iedz_sk!$B$14:$R$123,6,FALSE)*E$62</f>
        <v>124917.08248914617</v>
      </c>
      <c r="W42" s="85">
        <f>VLOOKUP($Q42,Iedz_sk!$B$14:$R$123,7,FALSE)*F$62</f>
        <v>130516.79467876541</v>
      </c>
      <c r="X42" s="85">
        <f>VLOOKUP($Q42,Iedz_sk!$B$14:$R$123,8,FALSE)*G$62</f>
        <v>141664.30293596725</v>
      </c>
      <c r="Y42" s="91">
        <f>VLOOKUP($Q42,Iedz_sk!$B$14:$R$123,9,FALSE)*H$62</f>
        <v>150098.60478062066</v>
      </c>
      <c r="Z42" s="91">
        <f>VLOOKUP($Q42,Iedz_sk!$B$14:$R$123,10,FALSE)*I$62</f>
        <v>143663.51838369717</v>
      </c>
      <c r="AA42" s="91">
        <f>VLOOKUP($Q42,Iedz_sk!$B$14:$R$123,11,FALSE)*J$62</f>
        <v>152442.99669776534</v>
      </c>
      <c r="AB42" s="91">
        <f>VLOOKUP($Q42,Iedz_sk!$B$14:$R$123,16,FALSE)*K$62</f>
        <v>160379.35002646007</v>
      </c>
      <c r="AC42" s="162">
        <f>VLOOKUP($Q42,Iedz_sk!$B$14:$R$123,17,FALSE)*L$62</f>
        <v>166636.84827143239</v>
      </c>
      <c r="AD42" s="163">
        <f>VLOOKUP($Q42,Iedz_sk!$B$14:$Y$123,24,FALSE)*M$62</f>
        <v>203415.39521033078</v>
      </c>
    </row>
    <row r="43" spans="1:30" x14ac:dyDescent="0.35">
      <c r="A43" s="19" t="s">
        <v>3</v>
      </c>
      <c r="B43" s="3">
        <v>23834</v>
      </c>
      <c r="C43" s="3">
        <v>23269</v>
      </c>
      <c r="D43" s="3">
        <v>23019</v>
      </c>
      <c r="E43" s="3">
        <v>22750</v>
      </c>
      <c r="F43" s="3">
        <v>22412</v>
      </c>
      <c r="G43" s="3">
        <v>22188</v>
      </c>
      <c r="H43" s="3">
        <v>22076</v>
      </c>
      <c r="I43" s="3">
        <v>21836</v>
      </c>
      <c r="J43" s="3">
        <v>21629</v>
      </c>
      <c r="K43" s="93">
        <v>21261</v>
      </c>
      <c r="L43" s="93">
        <v>20893</v>
      </c>
      <c r="M43" s="169">
        <v>18315</v>
      </c>
      <c r="N43" s="230"/>
      <c r="O43" s="227"/>
      <c r="P43" s="82"/>
      <c r="Q43" s="3" t="s">
        <v>39</v>
      </c>
      <c r="R43" s="3" t="s">
        <v>294</v>
      </c>
      <c r="S43" s="85">
        <f>VLOOKUP($Q43,Iedz_sk!$B$14:$R$123,3,FALSE)*B$62</f>
        <v>18808.117262176635</v>
      </c>
      <c r="T43" s="85">
        <f>VLOOKUP($Q43,Iedz_sk!$B$14:$R$123,4,FALSE)*C$62</f>
        <v>21104.994042343122</v>
      </c>
      <c r="U43" s="85">
        <f>VLOOKUP($Q43,Iedz_sk!$B$14:$R$123,5,FALSE)*D$62</f>
        <v>20924.722457928758</v>
      </c>
      <c r="V43" s="85">
        <f>VLOOKUP($Q43,Iedz_sk!$B$14:$R$123,6,FALSE)*E$62</f>
        <v>21739.877279305354</v>
      </c>
      <c r="W43" s="85">
        <f>VLOOKUP($Q43,Iedz_sk!$B$14:$R$123,7,FALSE)*F$62</f>
        <v>22009.206896755968</v>
      </c>
      <c r="X43" s="85">
        <f>VLOOKUP($Q43,Iedz_sk!$B$14:$R$123,8,FALSE)*G$62</f>
        <v>23600.69380587677</v>
      </c>
      <c r="Y43" s="91">
        <f>VLOOKUP($Q43,Iedz_sk!$B$14:$R$123,9,FALSE)*H$62</f>
        <v>24652.769866545867</v>
      </c>
      <c r="Z43" s="91">
        <f>VLOOKUP($Q43,Iedz_sk!$B$14:$R$123,10,FALSE)*I$62</f>
        <v>23728.47462518849</v>
      </c>
      <c r="AA43" s="91">
        <f>VLOOKUP($Q43,Iedz_sk!$B$14:$R$123,11,FALSE)*J$62</f>
        <v>24552.54856062627</v>
      </c>
      <c r="AB43" s="91">
        <f>VLOOKUP($Q43,Iedz_sk!$B$14:$R$123,16,FALSE)*K$62</f>
        <v>25735.881762244117</v>
      </c>
      <c r="AC43" s="162">
        <f>VLOOKUP($Q43,Iedz_sk!$B$14:$R$123,17,FALSE)*L$62</f>
        <v>26638.562675829919</v>
      </c>
      <c r="AD43" s="163">
        <f>VLOOKUP($Q43,Iedz_sk!$B$14:$Y$123,24,FALSE)*M$62</f>
        <v>31461.833072475685</v>
      </c>
    </row>
    <row r="44" spans="1:30" x14ac:dyDescent="0.35">
      <c r="A44" s="19" t="s">
        <v>2</v>
      </c>
      <c r="B44" s="3">
        <v>89184</v>
      </c>
      <c r="C44" s="3">
        <v>87403</v>
      </c>
      <c r="D44" s="3">
        <v>86435</v>
      </c>
      <c r="E44" s="3">
        <v>85858</v>
      </c>
      <c r="F44" s="3">
        <v>84592</v>
      </c>
      <c r="G44" s="3">
        <v>83250</v>
      </c>
      <c r="H44" s="3">
        <v>82604</v>
      </c>
      <c r="I44" s="3">
        <v>81587</v>
      </c>
      <c r="J44" s="3">
        <v>80627</v>
      </c>
      <c r="K44" s="93">
        <v>79117</v>
      </c>
      <c r="L44" s="93">
        <v>77607</v>
      </c>
      <c r="M44" s="169">
        <v>67039</v>
      </c>
      <c r="N44" s="230"/>
      <c r="O44" s="227"/>
      <c r="P44" s="82"/>
      <c r="Q44" s="3" t="s">
        <v>42</v>
      </c>
      <c r="R44" s="3" t="s">
        <v>294</v>
      </c>
      <c r="S44" s="85">
        <f>VLOOKUP($Q44,Iedz_sk!$B$14:$R$123,3,FALSE)*B$62</f>
        <v>137571.63247505791</v>
      </c>
      <c r="T44" s="85">
        <f>VLOOKUP($Q44,Iedz_sk!$B$14:$R$123,4,FALSE)*C$62</f>
        <v>154932.41108393454</v>
      </c>
      <c r="U44" s="85">
        <f>VLOOKUP($Q44,Iedz_sk!$B$14:$R$123,5,FALSE)*D$62</f>
        <v>153860.34454284006</v>
      </c>
      <c r="V44" s="85">
        <f>VLOOKUP($Q44,Iedz_sk!$B$14:$R$123,6,FALSE)*E$62</f>
        <v>157679.05528219973</v>
      </c>
      <c r="W44" s="85">
        <f>VLOOKUP($Q44,Iedz_sk!$B$14:$R$123,7,FALSE)*F$62</f>
        <v>163302.97770578027</v>
      </c>
      <c r="X44" s="85">
        <f>VLOOKUP($Q44,Iedz_sk!$B$14:$R$123,8,FALSE)*G$62</f>
        <v>175531.77107676311</v>
      </c>
      <c r="Y44" s="91">
        <f>VLOOKUP($Q44,Iedz_sk!$B$14:$R$123,9,FALSE)*H$62</f>
        <v>184084.40541107269</v>
      </c>
      <c r="Z44" s="91">
        <f>VLOOKUP($Q44,Iedz_sk!$B$14:$R$123,10,FALSE)*I$62</f>
        <v>177087.02275313245</v>
      </c>
      <c r="AA44" s="91">
        <f>VLOOKUP($Q44,Iedz_sk!$B$14:$R$123,11,FALSE)*J$62</f>
        <v>185267.86546574108</v>
      </c>
      <c r="AB44" s="91">
        <f>VLOOKUP($Q44,Iedz_sk!$B$14:$R$123,16,FALSE)*K$62</f>
        <v>194974.95894886088</v>
      </c>
      <c r="AC44" s="162">
        <f>VLOOKUP($Q44,Iedz_sk!$B$14:$R$123,17,FALSE)*L$62</f>
        <v>202662.64167122671</v>
      </c>
      <c r="AD44" s="163">
        <f>VLOOKUP($Q44,Iedz_sk!$B$14:$Y$123,24,FALSE)*M$62</f>
        <v>248151.66535993211</v>
      </c>
    </row>
    <row r="45" spans="1:30" x14ac:dyDescent="0.35">
      <c r="A45" s="19" t="s">
        <v>7</v>
      </c>
      <c r="B45" s="3">
        <v>30756</v>
      </c>
      <c r="C45" s="3">
        <v>29948</v>
      </c>
      <c r="D45" s="3">
        <v>29317</v>
      </c>
      <c r="E45" s="3">
        <v>28692</v>
      </c>
      <c r="F45" s="3">
        <v>28174</v>
      </c>
      <c r="G45" s="3">
        <v>28156</v>
      </c>
      <c r="H45" s="3">
        <v>27820</v>
      </c>
      <c r="I45" s="3">
        <v>27100</v>
      </c>
      <c r="J45" s="3">
        <v>26839</v>
      </c>
      <c r="K45" s="93">
        <v>26264</v>
      </c>
      <c r="L45" s="93">
        <v>25689</v>
      </c>
      <c r="M45" s="169">
        <v>21662</v>
      </c>
      <c r="N45" s="230"/>
      <c r="O45" s="227"/>
      <c r="P45" s="82"/>
      <c r="Q45" s="3" t="s">
        <v>48</v>
      </c>
      <c r="R45" s="3" t="s">
        <v>294</v>
      </c>
      <c r="S45" s="85">
        <f>VLOOKUP($Q45,Iedz_sk!$B$14:$R$123,3,FALSE)*B$62</f>
        <v>14344.340494494307</v>
      </c>
      <c r="T45" s="85">
        <f>VLOOKUP($Q45,Iedz_sk!$B$14:$R$123,4,FALSE)*C$62</f>
        <v>16379.679111175936</v>
      </c>
      <c r="U45" s="85">
        <f>VLOOKUP($Q45,Iedz_sk!$B$14:$R$123,5,FALSE)*D$62</f>
        <v>16303.224123693728</v>
      </c>
      <c r="V45" s="85">
        <f>VLOOKUP($Q45,Iedz_sk!$B$14:$R$123,6,FALSE)*E$62</f>
        <v>16277.07438494935</v>
      </c>
      <c r="W45" s="85">
        <f>VLOOKUP($Q45,Iedz_sk!$B$14:$R$123,7,FALSE)*F$62</f>
        <v>16789.477015749289</v>
      </c>
      <c r="X45" s="85">
        <f>VLOOKUP($Q45,Iedz_sk!$B$14:$R$123,8,FALSE)*G$62</f>
        <v>17921.750010578427</v>
      </c>
      <c r="Y45" s="91">
        <f>VLOOKUP($Q45,Iedz_sk!$B$14:$R$123,9,FALSE)*H$62</f>
        <v>18510.205414859094</v>
      </c>
      <c r="Z45" s="91">
        <f>VLOOKUP($Q45,Iedz_sk!$B$14:$R$123,10,FALSE)*I$62</f>
        <v>17805.2098773336</v>
      </c>
      <c r="AA45" s="91">
        <f>VLOOKUP($Q45,Iedz_sk!$B$14:$R$123,11,FALSE)*J$62</f>
        <v>18811.029512602898</v>
      </c>
      <c r="AB45" s="91">
        <f>VLOOKUP($Q45,Iedz_sk!$B$14:$R$123,16,FALSE)*K$62</f>
        <v>19731.18135897279</v>
      </c>
      <c r="AC45" s="162">
        <f>VLOOKUP($Q45,Iedz_sk!$B$14:$R$123,17,FALSE)*L$62</f>
        <v>20448.823659913232</v>
      </c>
      <c r="AD45" s="163">
        <f>VLOOKUP($Q45,Iedz_sk!$B$14:$Y$123,24,FALSE)*M$62</f>
        <v>24328.5946431306</v>
      </c>
    </row>
    <row r="46" spans="1:30" x14ac:dyDescent="0.35">
      <c r="A46" s="96" t="s">
        <v>307</v>
      </c>
      <c r="B46" s="3">
        <v>319506</v>
      </c>
      <c r="C46" s="3">
        <v>317288</v>
      </c>
      <c r="D46" s="3">
        <v>317963</v>
      </c>
      <c r="E46" s="3">
        <v>317165</v>
      </c>
      <c r="F46" s="3">
        <v>316348</v>
      </c>
      <c r="G46" s="3">
        <v>318193</v>
      </c>
      <c r="H46" s="3">
        <v>321264</v>
      </c>
      <c r="I46" s="3">
        <v>325627</v>
      </c>
      <c r="J46" s="3">
        <v>328734</v>
      </c>
      <c r="K46" s="93">
        <v>327720</v>
      </c>
      <c r="L46" s="93">
        <v>326706</v>
      </c>
      <c r="M46" s="169">
        <v>319596</v>
      </c>
      <c r="N46" s="230"/>
      <c r="O46" s="227"/>
      <c r="P46" s="82"/>
      <c r="Q46" s="3" t="s">
        <v>54</v>
      </c>
      <c r="R46" s="3" t="s">
        <v>294</v>
      </c>
      <c r="S46" s="85">
        <f>VLOOKUP($Q46,Iedz_sk!$B$14:$R$123,3,FALSE)*B$62</f>
        <v>38507.76018732012</v>
      </c>
      <c r="T46" s="85">
        <f>VLOOKUP($Q46,Iedz_sk!$B$14:$R$123,4,FALSE)*C$62</f>
        <v>43975.800839233023</v>
      </c>
      <c r="U46" s="85">
        <f>VLOOKUP($Q46,Iedz_sk!$B$14:$R$123,5,FALSE)*D$62</f>
        <v>43705.154246988808</v>
      </c>
      <c r="V46" s="85">
        <f>VLOOKUP($Q46,Iedz_sk!$B$14:$R$123,6,FALSE)*E$62</f>
        <v>45216.56960926194</v>
      </c>
      <c r="W46" s="85">
        <f>VLOOKUP($Q46,Iedz_sk!$B$14:$R$123,7,FALSE)*F$62</f>
        <v>46938.322839729204</v>
      </c>
      <c r="X46" s="85">
        <f>VLOOKUP($Q46,Iedz_sk!$B$14:$R$123,8,FALSE)*G$62</f>
        <v>50792.610768235696</v>
      </c>
      <c r="Y46" s="91">
        <f>VLOOKUP($Q46,Iedz_sk!$B$14:$R$123,9,FALSE)*H$62</f>
        <v>53467.814749607845</v>
      </c>
      <c r="Z46" s="91">
        <f>VLOOKUP($Q46,Iedz_sk!$B$14:$R$123,10,FALSE)*I$62</f>
        <v>51405.79241561357</v>
      </c>
      <c r="AA46" s="91">
        <f>VLOOKUP($Q46,Iedz_sk!$B$14:$R$123,11,FALSE)*J$62</f>
        <v>54544.430956222051</v>
      </c>
      <c r="AB46" s="91">
        <f>VLOOKUP($Q46,Iedz_sk!$B$14:$R$123,16,FALSE)*K$62</f>
        <v>57781.271054829172</v>
      </c>
      <c r="AC46" s="162">
        <f>VLOOKUP($Q46,Iedz_sk!$B$14:$R$123,17,FALSE)*L$62</f>
        <v>60471.481694767186</v>
      </c>
      <c r="AD46" s="163">
        <f>VLOOKUP($Q46,Iedz_sk!$B$14:$Y$123,24,FALSE)*M$62</f>
        <v>78339.649417200475</v>
      </c>
    </row>
    <row r="47" spans="1:30" x14ac:dyDescent="0.35">
      <c r="A47" s="96" t="s">
        <v>308</v>
      </c>
      <c r="B47" s="3">
        <v>181721</v>
      </c>
      <c r="C47" s="3">
        <v>178258</v>
      </c>
      <c r="D47" s="3">
        <v>175595</v>
      </c>
      <c r="E47" s="3">
        <v>172750</v>
      </c>
      <c r="F47" s="3">
        <v>168833</v>
      </c>
      <c r="G47" s="3">
        <v>165431</v>
      </c>
      <c r="H47" s="3">
        <v>162970</v>
      </c>
      <c r="I47" s="3">
        <v>162495</v>
      </c>
      <c r="J47" s="3">
        <v>160428</v>
      </c>
      <c r="K47" s="93">
        <v>156712</v>
      </c>
      <c r="L47" s="93">
        <v>152998</v>
      </c>
      <c r="M47" s="169">
        <v>126999</v>
      </c>
      <c r="N47" s="230"/>
      <c r="O47" s="227"/>
      <c r="Q47" s="3" t="s">
        <v>64</v>
      </c>
      <c r="R47" s="3" t="s">
        <v>294</v>
      </c>
      <c r="S47" s="85">
        <f>VLOOKUP($Q47,Iedz_sk!$B$14:$R$123,3,FALSE)*B$62</f>
        <v>22152.875611514355</v>
      </c>
      <c r="T47" s="85">
        <f>VLOOKUP($Q47,Iedz_sk!$B$14:$R$123,4,FALSE)*C$62</f>
        <v>24947.402596236916</v>
      </c>
      <c r="U47" s="85">
        <f>VLOOKUP($Q47,Iedz_sk!$B$14:$R$123,5,FALSE)*D$62</f>
        <v>24749.901079187905</v>
      </c>
      <c r="V47" s="85">
        <f>VLOOKUP($Q47,Iedz_sk!$B$14:$R$123,6,FALSE)*E$62</f>
        <v>25265.463386396528</v>
      </c>
      <c r="W47" s="85">
        <f>VLOOKUP($Q47,Iedz_sk!$B$14:$R$123,7,FALSE)*F$62</f>
        <v>26012.308008505446</v>
      </c>
      <c r="X47" s="85">
        <f>VLOOKUP($Q47,Iedz_sk!$B$14:$R$123,8,FALSE)*G$62</f>
        <v>28025.286929293783</v>
      </c>
      <c r="Y47" s="91">
        <f>VLOOKUP($Q47,Iedz_sk!$B$14:$R$123,9,FALSE)*H$62</f>
        <v>29924.373687023322</v>
      </c>
      <c r="Z47" s="91">
        <f>VLOOKUP($Q47,Iedz_sk!$B$14:$R$123,10,FALSE)*I$62</f>
        <v>28872.595430126741</v>
      </c>
      <c r="AA47" s="91">
        <f>VLOOKUP($Q47,Iedz_sk!$B$14:$R$123,11,FALSE)*J$62</f>
        <v>30766.232004046302</v>
      </c>
      <c r="AB47" s="91">
        <f>VLOOKUP($Q47,Iedz_sk!$B$14:$R$123,16,FALSE)*K$62</f>
        <v>32218.113331257835</v>
      </c>
      <c r="AC47" s="162">
        <f>VLOOKUP($Q47,Iedz_sk!$B$14:$R$123,17,FALSE)*L$62</f>
        <v>33325.209186916174</v>
      </c>
      <c r="AD47" s="163">
        <f>VLOOKUP($Q47,Iedz_sk!$B$14:$Y$123,24,FALSE)*M$62</f>
        <v>39020.231408205582</v>
      </c>
    </row>
    <row r="48" spans="1:30" x14ac:dyDescent="0.35">
      <c r="A48" s="96" t="s">
        <v>309</v>
      </c>
      <c r="B48" s="3">
        <v>151950</v>
      </c>
      <c r="C48" s="3">
        <v>149431</v>
      </c>
      <c r="D48" s="3">
        <v>147323</v>
      </c>
      <c r="E48" s="3">
        <v>144555</v>
      </c>
      <c r="F48" s="3">
        <v>141512</v>
      </c>
      <c r="G48" s="3">
        <v>138997</v>
      </c>
      <c r="H48" s="3">
        <v>136791</v>
      </c>
      <c r="I48" s="3">
        <v>136472</v>
      </c>
      <c r="J48" s="3">
        <v>134686</v>
      </c>
      <c r="K48" s="93">
        <v>132284</v>
      </c>
      <c r="L48" s="93">
        <v>129883</v>
      </c>
      <c r="M48" s="169">
        <v>113059</v>
      </c>
      <c r="N48" s="230"/>
      <c r="O48" s="227"/>
      <c r="Q48" s="3" t="s">
        <v>66</v>
      </c>
      <c r="R48" s="3" t="s">
        <v>294</v>
      </c>
      <c r="S48" s="85">
        <f>VLOOKUP($Q48,Iedz_sk!$B$14:$R$123,3,FALSE)*B$62</f>
        <v>15383.429025814297</v>
      </c>
      <c r="T48" s="85">
        <f>VLOOKUP($Q48,Iedz_sk!$B$14:$R$123,4,FALSE)*C$62</f>
        <v>17481.546270013128</v>
      </c>
      <c r="U48" s="85">
        <f>VLOOKUP($Q48,Iedz_sk!$B$14:$R$123,5,FALSE)*D$62</f>
        <v>17376.833736723711</v>
      </c>
      <c r="V48" s="85">
        <f>VLOOKUP($Q48,Iedz_sk!$B$14:$R$123,6,FALSE)*E$62</f>
        <v>17598.241389290884</v>
      </c>
      <c r="W48" s="85">
        <f>VLOOKUP($Q48,Iedz_sk!$B$14:$R$123,7,FALSE)*F$62</f>
        <v>18147.391706597646</v>
      </c>
      <c r="X48" s="85">
        <f>VLOOKUP($Q48,Iedz_sk!$B$14:$R$123,8,FALSE)*G$62</f>
        <v>19648.630045154776</v>
      </c>
      <c r="Y48" s="91">
        <f>VLOOKUP($Q48,Iedz_sk!$B$14:$R$123,9,FALSE)*H$62</f>
        <v>20407.982790230977</v>
      </c>
      <c r="Z48" s="91">
        <f>VLOOKUP($Q48,Iedz_sk!$B$14:$R$123,10,FALSE)*I$62</f>
        <v>19682.238467087318</v>
      </c>
      <c r="AA48" s="91">
        <f>VLOOKUP($Q48,Iedz_sk!$B$14:$R$123,11,FALSE)*J$62</f>
        <v>20425.831744859472</v>
      </c>
      <c r="AB48" s="91">
        <f>VLOOKUP($Q48,Iedz_sk!$B$14:$R$123,16,FALSE)*K$62</f>
        <v>21570.184358959439</v>
      </c>
      <c r="AC48" s="162">
        <f>VLOOKUP($Q48,Iedz_sk!$B$14:$R$123,17,FALSE)*L$62</f>
        <v>22501.267661700615</v>
      </c>
      <c r="AD48" s="163">
        <f>VLOOKUP($Q48,Iedz_sk!$B$14:$Y$123,24,FALSE)*M$62</f>
        <v>28422.72707498429</v>
      </c>
    </row>
    <row r="49" spans="1:30" x14ac:dyDescent="0.35">
      <c r="A49" s="96" t="s">
        <v>310</v>
      </c>
      <c r="B49" s="3">
        <v>167238</v>
      </c>
      <c r="C49" s="3">
        <v>164274</v>
      </c>
      <c r="D49" s="3">
        <v>161951</v>
      </c>
      <c r="E49" s="3">
        <v>159553</v>
      </c>
      <c r="F49" s="3">
        <v>156262</v>
      </c>
      <c r="G49" s="3">
        <v>154188</v>
      </c>
      <c r="H49" s="3">
        <v>152283</v>
      </c>
      <c r="I49" s="3">
        <v>152305</v>
      </c>
      <c r="J49" s="3">
        <v>150555</v>
      </c>
      <c r="K49" s="93">
        <v>148106</v>
      </c>
      <c r="L49" s="93">
        <v>145656</v>
      </c>
      <c r="M49" s="169">
        <v>128502</v>
      </c>
      <c r="N49" s="230"/>
      <c r="O49" s="227"/>
      <c r="Q49" s="3" t="s">
        <v>68</v>
      </c>
      <c r="R49" s="3" t="s">
        <v>294</v>
      </c>
      <c r="S49" s="85">
        <f>VLOOKUP($Q49,Iedz_sk!$B$14:$R$123,3,FALSE)*B$62</f>
        <v>151270.38542050726</v>
      </c>
      <c r="T49" s="85">
        <f>VLOOKUP($Q49,Iedz_sk!$B$14:$R$123,4,FALSE)*C$62</f>
        <v>170464.500072928</v>
      </c>
      <c r="U49" s="85">
        <f>VLOOKUP($Q49,Iedz_sk!$B$14:$R$123,5,FALSE)*D$62</f>
        <v>169061.51906375468</v>
      </c>
      <c r="V49" s="85">
        <f>VLOOKUP($Q49,Iedz_sk!$B$14:$R$123,6,FALSE)*E$62</f>
        <v>173985.81881331405</v>
      </c>
      <c r="W49" s="85">
        <f>VLOOKUP($Q49,Iedz_sk!$B$14:$R$123,7,FALSE)*F$62</f>
        <v>180100.30393939573</v>
      </c>
      <c r="X49" s="85">
        <f>VLOOKUP($Q49,Iedz_sk!$B$14:$R$123,8,FALSE)*G$62</f>
        <v>194200.9766246955</v>
      </c>
      <c r="Y49" s="91">
        <f>VLOOKUP($Q49,Iedz_sk!$B$14:$R$123,9,FALSE)*H$62</f>
        <v>204088.99590895409</v>
      </c>
      <c r="Z49" s="91">
        <f>VLOOKUP($Q49,Iedz_sk!$B$14:$R$123,10,FALSE)*I$62</f>
        <v>195396.90541167342</v>
      </c>
      <c r="AA49" s="91">
        <f>VLOOKUP($Q49,Iedz_sk!$B$14:$R$123,11,FALSE)*J$62</f>
        <v>204692.70869235962</v>
      </c>
      <c r="AB49" s="91">
        <f>VLOOKUP($Q49,Iedz_sk!$B$14:$R$123,16,FALSE)*K$62</f>
        <v>215681.52311445642</v>
      </c>
      <c r="AC49" s="162">
        <f>VLOOKUP($Q49,Iedz_sk!$B$14:$R$123,17,FALSE)*L$62</f>
        <v>224472.55977443053</v>
      </c>
      <c r="AD49" s="163">
        <f>VLOOKUP($Q49,Iedz_sk!$B$14:$Y$123,24,FALSE)*M$62</f>
        <v>277849.87215407082</v>
      </c>
    </row>
    <row r="50" spans="1:30" x14ac:dyDescent="0.35">
      <c r="A50" s="96" t="s">
        <v>311</v>
      </c>
      <c r="B50" s="3">
        <v>172734</v>
      </c>
      <c r="C50" s="3">
        <v>168887</v>
      </c>
      <c r="D50" s="3">
        <v>165829</v>
      </c>
      <c r="E50" s="3">
        <v>161988</v>
      </c>
      <c r="F50" s="3">
        <v>157445</v>
      </c>
      <c r="G50" s="3">
        <v>153451</v>
      </c>
      <c r="H50" s="3">
        <v>149802</v>
      </c>
      <c r="I50" s="3">
        <v>148501</v>
      </c>
      <c r="J50" s="3">
        <v>145216</v>
      </c>
      <c r="K50" s="93">
        <v>141884</v>
      </c>
      <c r="L50" s="93">
        <v>138552</v>
      </c>
      <c r="M50" s="169">
        <v>115225</v>
      </c>
      <c r="N50" s="231"/>
      <c r="O50" s="228"/>
      <c r="Q50" s="3" t="s">
        <v>69</v>
      </c>
      <c r="R50" s="3" t="s">
        <v>294</v>
      </c>
      <c r="S50" s="85">
        <f>VLOOKUP($Q50,Iedz_sk!$B$14:$R$123,3,FALSE)*B$62</f>
        <v>20886.294324816612</v>
      </c>
      <c r="T50" s="85">
        <f>VLOOKUP($Q50,Iedz_sk!$B$14:$R$123,4,FALSE)*C$62</f>
        <v>23407.613874272123</v>
      </c>
      <c r="U50" s="85">
        <f>VLOOKUP($Q50,Iedz_sk!$B$14:$R$123,5,FALSE)*D$62</f>
        <v>23029.281699365016</v>
      </c>
      <c r="V50" s="85">
        <f>VLOOKUP($Q50,Iedz_sk!$B$14:$R$123,6,FALSE)*E$62</f>
        <v>23357.935745296672</v>
      </c>
      <c r="W50" s="85">
        <f>VLOOKUP($Q50,Iedz_sk!$B$14:$R$123,7,FALSE)*F$62</f>
        <v>23783.130134511619</v>
      </c>
      <c r="X50" s="85">
        <f>VLOOKUP($Q50,Iedz_sk!$B$14:$R$123,8,FALSE)*G$62</f>
        <v>25688.414444692953</v>
      </c>
      <c r="Y50" s="91">
        <f>VLOOKUP($Q50,Iedz_sk!$B$14:$R$123,9,FALSE)*H$62</f>
        <v>26880.595481112861</v>
      </c>
      <c r="Z50" s="91">
        <f>VLOOKUP($Q50,Iedz_sk!$B$14:$R$123,10,FALSE)*I$62</f>
        <v>25959.659552631587</v>
      </c>
      <c r="AA50" s="91">
        <f>VLOOKUP($Q50,Iedz_sk!$B$14:$R$123,11,FALSE)*J$62</f>
        <v>27073.90643204443</v>
      </c>
      <c r="AB50" s="91">
        <f>VLOOKUP($Q50,Iedz_sk!$B$14:$R$123,16,FALSE)*K$62</f>
        <v>28347.062817473779</v>
      </c>
      <c r="AC50" s="162">
        <f>VLOOKUP($Q50,Iedz_sk!$B$14:$R$123,17,FALSE)*L$62</f>
        <v>29317.542215005025</v>
      </c>
      <c r="AD50" s="163">
        <f>VLOOKUP($Q50,Iedz_sk!$B$14:$Y$123,24,FALSE)*M$62</f>
        <v>34280.485785174962</v>
      </c>
    </row>
    <row r="51" spans="1:30" x14ac:dyDescent="0.35">
      <c r="A51" s="215" t="s">
        <v>406</v>
      </c>
      <c r="B51" s="215"/>
      <c r="C51" s="215"/>
      <c r="D51" s="215"/>
      <c r="E51" s="215"/>
      <c r="F51" s="215"/>
      <c r="G51" s="215"/>
      <c r="H51" s="215"/>
      <c r="I51" s="215"/>
      <c r="J51" s="215"/>
      <c r="K51" s="215"/>
      <c r="L51" s="215"/>
      <c r="M51" s="215"/>
      <c r="N51" s="215"/>
      <c r="O51" s="215"/>
      <c r="Q51" s="3" t="s">
        <v>73</v>
      </c>
      <c r="R51" s="3" t="s">
        <v>294</v>
      </c>
      <c r="S51" s="85">
        <f>VLOOKUP($Q51,Iedz_sk!$B$14:$R$123,3,FALSE)*B$62</f>
        <v>11878.810902427347</v>
      </c>
      <c r="T51" s="85">
        <f>VLOOKUP($Q51,Iedz_sk!$B$14:$R$123,4,FALSE)*C$62</f>
        <v>13285.975165209977</v>
      </c>
      <c r="U51" s="85">
        <f>VLOOKUP($Q51,Iedz_sk!$B$14:$R$123,5,FALSE)*D$62</f>
        <v>13132.165266664768</v>
      </c>
      <c r="V51" s="85">
        <f>VLOOKUP($Q51,Iedz_sk!$B$14:$R$123,6,FALSE)*E$62</f>
        <v>13538.250651230102</v>
      </c>
      <c r="W51" s="85">
        <f>VLOOKUP($Q51,Iedz_sk!$B$14:$R$123,7,FALSE)*F$62</f>
        <v>13893.11562313055</v>
      </c>
      <c r="X51" s="85">
        <f>VLOOKUP($Q51,Iedz_sk!$B$14:$R$123,8,FALSE)*G$62</f>
        <v>14871.787760456022</v>
      </c>
      <c r="Y51" s="91">
        <f>VLOOKUP($Q51,Iedz_sk!$B$14:$R$123,9,FALSE)*H$62</f>
        <v>15594.779301968954</v>
      </c>
      <c r="Z51" s="91">
        <f>VLOOKUP($Q51,Iedz_sk!$B$14:$R$123,10,FALSE)*I$62</f>
        <v>15317.261605065703</v>
      </c>
      <c r="AA51" s="91">
        <f>VLOOKUP($Q51,Iedz_sk!$B$14:$R$123,11,FALSE)*J$62</f>
        <v>15949.713276499142</v>
      </c>
      <c r="AB51" s="91">
        <f>VLOOKUP($Q51,Iedz_sk!$B$14:$R$123,16,FALSE)*K$62</f>
        <v>16683.110088276684</v>
      </c>
      <c r="AC51" s="162">
        <f>VLOOKUP($Q51,Iedz_sk!$B$14:$R$123,17,FALSE)*L$62</f>
        <v>17240.529615014009</v>
      </c>
      <c r="AD51" s="163">
        <f>VLOOKUP($Q51,Iedz_sk!$B$14:$Y$123,24,FALSE)*M$62</f>
        <v>19998.262263285345</v>
      </c>
    </row>
    <row r="52" spans="1:30" x14ac:dyDescent="0.35">
      <c r="A52" s="19" t="s">
        <v>1</v>
      </c>
      <c r="B52" s="34">
        <f t="shared" ref="B52:L52" si="12">B20/B37</f>
        <v>19.088750262190906</v>
      </c>
      <c r="C52" s="34">
        <f t="shared" si="12"/>
        <v>19.789543465015356</v>
      </c>
      <c r="D52" s="34">
        <f t="shared" si="12"/>
        <v>20.841338706129573</v>
      </c>
      <c r="E52" s="34">
        <f t="shared" si="12"/>
        <v>21.515363569563654</v>
      </c>
      <c r="F52" s="34">
        <f t="shared" si="12"/>
        <v>22.579726639050985</v>
      </c>
      <c r="G52" s="34">
        <f t="shared" si="12"/>
        <v>25.699396994534233</v>
      </c>
      <c r="H52" s="34">
        <f t="shared" si="12"/>
        <v>27.244864418012725</v>
      </c>
      <c r="I52" s="34">
        <f t="shared" si="12"/>
        <v>26.720241562910701</v>
      </c>
      <c r="J52" s="34">
        <f t="shared" si="12"/>
        <v>28.434067487205898</v>
      </c>
      <c r="K52" s="34">
        <f t="shared" si="12"/>
        <v>29.828199828970693</v>
      </c>
      <c r="L52" s="34">
        <f t="shared" si="12"/>
        <v>30.903805705974257</v>
      </c>
      <c r="M52" s="170">
        <f t="shared" ref="M52" si="13">M20/M37</f>
        <v>36.910479528866212</v>
      </c>
      <c r="N52" s="56"/>
      <c r="Q52" s="3" t="s">
        <v>79</v>
      </c>
      <c r="R52" s="3" t="s">
        <v>294</v>
      </c>
      <c r="S52" s="85">
        <f>VLOOKUP($Q52,Iedz_sk!$B$14:$R$123,3,FALSE)*B$62</f>
        <v>24286.388749786762</v>
      </c>
      <c r="T52" s="85">
        <f>VLOOKUP($Q52,Iedz_sk!$B$14:$R$123,4,FALSE)*C$62</f>
        <v>27815.082509620886</v>
      </c>
      <c r="U52" s="85">
        <f>VLOOKUP($Q52,Iedz_sk!$B$14:$R$123,5,FALSE)*D$62</f>
        <v>27707.660013098324</v>
      </c>
      <c r="V52" s="85">
        <f>VLOOKUP($Q52,Iedz_sk!$B$14:$R$123,6,FALSE)*E$62</f>
        <v>28316.023154848048</v>
      </c>
      <c r="W52" s="85">
        <f>VLOOKUP($Q52,Iedz_sk!$B$14:$R$123,7,FALSE)*F$62</f>
        <v>29261.884205102084</v>
      </c>
      <c r="X52" s="85">
        <f>VLOOKUP($Q52,Iedz_sk!$B$14:$R$123,8,FALSE)*G$62</f>
        <v>31496.229884362663</v>
      </c>
      <c r="Y52" s="91">
        <f>VLOOKUP($Q52,Iedz_sk!$B$14:$R$123,9,FALSE)*H$62</f>
        <v>33215.688072330115</v>
      </c>
      <c r="Z52" s="91">
        <f>VLOOKUP($Q52,Iedz_sk!$B$14:$R$123,10,FALSE)*I$62</f>
        <v>32210.518912849151</v>
      </c>
      <c r="AA52" s="91">
        <f>VLOOKUP($Q52,Iedz_sk!$B$14:$R$123,11,FALSE)*J$62</f>
        <v>34024.166332283254</v>
      </c>
      <c r="AB52" s="91">
        <f>VLOOKUP($Q52,Iedz_sk!$B$14:$R$123,16,FALSE)*K$62</f>
        <v>35967.240994214044</v>
      </c>
      <c r="AC52" s="162">
        <f>VLOOKUP($Q52,Iedz_sk!$B$14:$R$123,17,FALSE)*L$62</f>
        <v>37559.72523270909</v>
      </c>
      <c r="AD52" s="163">
        <f>VLOOKUP($Q52,Iedz_sk!$B$14:$Y$123,24,FALSE)*M$62</f>
        <v>47838.362799890456</v>
      </c>
    </row>
    <row r="53" spans="1:30" x14ac:dyDescent="0.35">
      <c r="A53" s="19" t="s">
        <v>4</v>
      </c>
      <c r="B53" s="34">
        <f t="shared" ref="B53:L53" si="14">B21/B38</f>
        <v>6.2383272914561916</v>
      </c>
      <c r="C53" s="34">
        <f t="shared" si="14"/>
        <v>7.0589346733668341</v>
      </c>
      <c r="D53" s="34">
        <f t="shared" si="14"/>
        <v>7.1425693912903352</v>
      </c>
      <c r="E53" s="34">
        <f t="shared" si="14"/>
        <v>7.0051644910739705</v>
      </c>
      <c r="F53" s="34">
        <f t="shared" si="14"/>
        <v>8.501543019380323</v>
      </c>
      <c r="G53" s="34">
        <f t="shared" si="14"/>
        <v>8.5860860350905792</v>
      </c>
      <c r="H53" s="34">
        <f t="shared" si="14"/>
        <v>8.9798757921963741</v>
      </c>
      <c r="I53" s="34">
        <f t="shared" si="14"/>
        <v>8.5327725861822117</v>
      </c>
      <c r="J53" s="34">
        <f t="shared" si="14"/>
        <v>8.9379816414483102</v>
      </c>
      <c r="K53" s="34">
        <f t="shared" si="14"/>
        <v>9.47433014786915</v>
      </c>
      <c r="L53" s="34">
        <f t="shared" si="14"/>
        <v>9.9193704738282875</v>
      </c>
      <c r="M53" s="170">
        <f t="shared" ref="M53" si="15">M21/M38</f>
        <v>12.775804587384108</v>
      </c>
      <c r="N53" s="56"/>
      <c r="Q53" s="3" t="s">
        <v>84</v>
      </c>
      <c r="R53" s="3" t="s">
        <v>294</v>
      </c>
      <c r="S53" s="85">
        <f>VLOOKUP($Q53,Iedz_sk!$B$14:$R$123,3,FALSE)*B$62</f>
        <v>50614.063845125216</v>
      </c>
      <c r="T53" s="85">
        <f>VLOOKUP($Q53,Iedz_sk!$B$14:$R$123,4,FALSE)*C$62</f>
        <v>56859.170696406334</v>
      </c>
      <c r="U53" s="85">
        <f>VLOOKUP($Q53,Iedz_sk!$B$14:$R$123,5,FALSE)*D$62</f>
        <v>56531.589623850341</v>
      </c>
      <c r="V53" s="85">
        <f>VLOOKUP($Q53,Iedz_sk!$B$14:$R$123,6,FALSE)*E$62</f>
        <v>58932.955137481913</v>
      </c>
      <c r="W53" s="85">
        <f>VLOOKUP($Q53,Iedz_sk!$B$14:$R$123,7,FALSE)*F$62</f>
        <v>61773.344606800805</v>
      </c>
      <c r="X53" s="85">
        <f>VLOOKUP($Q53,Iedz_sk!$B$14:$R$123,8,FALSE)*G$62</f>
        <v>66317.348193506652</v>
      </c>
      <c r="Y53" s="91">
        <f>VLOOKUP($Q53,Iedz_sk!$B$14:$R$123,9,FALSE)*H$62</f>
        <v>69741.026543255633</v>
      </c>
      <c r="Z53" s="91">
        <f>VLOOKUP($Q53,Iedz_sk!$B$14:$R$123,10,FALSE)*I$62</f>
        <v>67307.411977866752</v>
      </c>
      <c r="AA53" s="91">
        <f>VLOOKUP($Q53,Iedz_sk!$B$14:$R$123,11,FALSE)*J$62</f>
        <v>70909.648900670261</v>
      </c>
      <c r="AB53" s="91">
        <f>VLOOKUP($Q53,Iedz_sk!$B$14:$R$123,16,FALSE)*K$62</f>
        <v>74952.072546417228</v>
      </c>
      <c r="AC53" s="162">
        <f>VLOOKUP($Q53,Iedz_sk!$B$14:$R$123,17,FALSE)*L$62</f>
        <v>78262.930489208331</v>
      </c>
      <c r="AD53" s="163">
        <f>VLOOKUP($Q53,Iedz_sk!$B$14:$Y$123,24,FALSE)*M$62</f>
        <v>99518.911420443619</v>
      </c>
    </row>
    <row r="54" spans="1:30" x14ac:dyDescent="0.35">
      <c r="A54" s="19" t="s">
        <v>8</v>
      </c>
      <c r="B54" s="34">
        <f t="shared" ref="B54:L54" si="16">B22/B39</f>
        <v>12.370851906884596</v>
      </c>
      <c r="C54" s="34">
        <f t="shared" si="16"/>
        <v>14.071522171027603</v>
      </c>
      <c r="D54" s="34">
        <f t="shared" si="16"/>
        <v>14.877603277569136</v>
      </c>
      <c r="E54" s="34">
        <f t="shared" si="16"/>
        <v>15.515743289745355</v>
      </c>
      <c r="F54" s="34">
        <f t="shared" si="16"/>
        <v>16.727015373894865</v>
      </c>
      <c r="G54" s="34">
        <f t="shared" si="16"/>
        <v>16.932099033083293</v>
      </c>
      <c r="H54" s="34">
        <f t="shared" si="16"/>
        <v>17.751883392123066</v>
      </c>
      <c r="I54" s="34">
        <f t="shared" si="16"/>
        <v>17.173192420059429</v>
      </c>
      <c r="J54" s="34">
        <f t="shared" si="16"/>
        <v>18.120371246813331</v>
      </c>
      <c r="K54" s="34">
        <f t="shared" si="16"/>
        <v>19.042023302602377</v>
      </c>
      <c r="L54" s="34">
        <f t="shared" si="16"/>
        <v>19.763039483023828</v>
      </c>
      <c r="M54" s="170">
        <f t="shared" ref="M54" si="17">M22/M39</f>
        <v>23.889364496684376</v>
      </c>
      <c r="N54" s="56"/>
      <c r="Q54" s="3" t="s">
        <v>85</v>
      </c>
      <c r="R54" s="3" t="s">
        <v>294</v>
      </c>
      <c r="S54" s="85">
        <f>VLOOKUP($Q54,Iedz_sk!$B$14:$R$123,3,FALSE)*B$62</f>
        <v>21458.100439685011</v>
      </c>
      <c r="T54" s="85">
        <f>VLOOKUP($Q54,Iedz_sk!$B$14:$R$123,4,FALSE)*C$62</f>
        <v>24099.812474054463</v>
      </c>
      <c r="U54" s="85">
        <f>VLOOKUP($Q54,Iedz_sk!$B$14:$R$123,5,FALSE)*D$62</f>
        <v>23811.381417466328</v>
      </c>
      <c r="V54" s="85">
        <f>VLOOKUP($Q54,Iedz_sk!$B$14:$R$123,6,FALSE)*E$62</f>
        <v>23803.272937771348</v>
      </c>
      <c r="W54" s="85">
        <f>VLOOKUP($Q54,Iedz_sk!$B$14:$R$123,7,FALSE)*F$62</f>
        <v>24528.805831798287</v>
      </c>
      <c r="X54" s="85">
        <f>VLOOKUP($Q54,Iedz_sk!$B$14:$R$123,8,FALSE)*G$62</f>
        <v>26599.107398250631</v>
      </c>
      <c r="Y54" s="91">
        <f>VLOOKUP($Q54,Iedz_sk!$B$14:$R$123,9,FALSE)*H$62</f>
        <v>27714.884085744943</v>
      </c>
      <c r="Z54" s="91">
        <f>VLOOKUP($Q54,Iedz_sk!$B$14:$R$123,10,FALSE)*I$62</f>
        <v>26898.173847508446</v>
      </c>
      <c r="AA54" s="91">
        <f>VLOOKUP($Q54,Iedz_sk!$B$14:$R$123,11,FALSE)*J$62</f>
        <v>28377.080163339208</v>
      </c>
      <c r="AB54" s="91">
        <f>VLOOKUP($Q54,Iedz_sk!$B$14:$R$123,16,FALSE)*K$62</f>
        <v>29657.733463873104</v>
      </c>
      <c r="AC54" s="162">
        <f>VLOOKUP($Q54,Iedz_sk!$B$14:$R$123,17,FALSE)*L$62</f>
        <v>30592.217963483505</v>
      </c>
      <c r="AD54" s="163">
        <f>VLOOKUP($Q54,Iedz_sk!$B$14:$Y$123,24,FALSE)*M$62</f>
        <v>35083.56560834626</v>
      </c>
    </row>
    <row r="55" spans="1:30" x14ac:dyDescent="0.35">
      <c r="A55" s="19" t="s">
        <v>6</v>
      </c>
      <c r="B55" s="34">
        <f t="shared" ref="B55:L55" si="18">B23/B40</f>
        <v>9.7710735139991023</v>
      </c>
      <c r="C55" s="34">
        <f t="shared" si="18"/>
        <v>9.7986680755220643</v>
      </c>
      <c r="D55" s="34">
        <f t="shared" si="18"/>
        <v>10.514882249560634</v>
      </c>
      <c r="E55" s="34">
        <f t="shared" si="18"/>
        <v>11.287682287979612</v>
      </c>
      <c r="F55" s="34">
        <f t="shared" si="18"/>
        <v>12.028858200250566</v>
      </c>
      <c r="G55" s="34">
        <f t="shared" si="18"/>
        <v>12.97172593235039</v>
      </c>
      <c r="H55" s="34">
        <f t="shared" si="18"/>
        <v>13.682804599964179</v>
      </c>
      <c r="I55" s="34">
        <f t="shared" si="18"/>
        <v>13.29740777206756</v>
      </c>
      <c r="J55" s="34">
        <f t="shared" si="18"/>
        <v>14.074072530182354</v>
      </c>
      <c r="K55" s="34">
        <f t="shared" si="18"/>
        <v>15.055234878005548</v>
      </c>
      <c r="L55" s="34">
        <f t="shared" si="18"/>
        <v>15.910397101864937</v>
      </c>
      <c r="M55" s="170">
        <f t="shared" ref="M55" si="19">M23/M40</f>
        <v>22.048534231079312</v>
      </c>
      <c r="N55" s="56"/>
      <c r="Q55" s="3" t="s">
        <v>93</v>
      </c>
      <c r="R55" s="3" t="s">
        <v>294</v>
      </c>
      <c r="S55" s="85">
        <f>VLOOKUP($Q55,Iedz_sk!$B$14:$R$123,3,FALSE)*B$62</f>
        <v>33521.364927553775</v>
      </c>
      <c r="T55" s="85">
        <f>VLOOKUP($Q55,Iedz_sk!$B$14:$R$123,4,FALSE)*C$62</f>
        <v>37583.558667773679</v>
      </c>
      <c r="U55" s="85">
        <f>VLOOKUP($Q55,Iedz_sk!$B$14:$R$123,5,FALSE)*D$62</f>
        <v>37107.076625188645</v>
      </c>
      <c r="V55" s="85">
        <f>VLOOKUP($Q55,Iedz_sk!$B$14:$R$123,6,FALSE)*E$62</f>
        <v>38269.309406657019</v>
      </c>
      <c r="W55" s="85">
        <f>VLOOKUP($Q55,Iedz_sk!$B$14:$R$123,7,FALSE)*F$62</f>
        <v>39685.645531383081</v>
      </c>
      <c r="X55" s="85">
        <f>VLOOKUP($Q55,Iedz_sk!$B$14:$R$123,8,FALSE)*G$62</f>
        <v>42888.483246791715</v>
      </c>
      <c r="Y55" s="91">
        <f>VLOOKUP($Q55,Iedz_sk!$B$14:$R$123,9,FALSE)*H$62</f>
        <v>45079.088670065459</v>
      </c>
      <c r="Z55" s="91">
        <f>VLOOKUP($Q55,Iedz_sk!$B$14:$R$123,10,FALSE)*I$62</f>
        <v>43499.252176698152</v>
      </c>
      <c r="AA55" s="91">
        <f>VLOOKUP($Q55,Iedz_sk!$B$14:$R$123,11,FALSE)*J$62</f>
        <v>45488.317852514134</v>
      </c>
      <c r="AB55" s="91">
        <f>VLOOKUP($Q55,Iedz_sk!$B$14:$R$123,16,FALSE)*K$62</f>
        <v>47864.879187497841</v>
      </c>
      <c r="AC55" s="162">
        <f>VLOOKUP($Q55,Iedz_sk!$B$14:$R$123,17,FALSE)*L$62</f>
        <v>49744.761201215231</v>
      </c>
      <c r="AD55" s="163">
        <f>VLOOKUP($Q55,Iedz_sk!$B$14:$Y$123,24,FALSE)*M$62</f>
        <v>60860.853265825092</v>
      </c>
    </row>
    <row r="56" spans="1:30" x14ac:dyDescent="0.35">
      <c r="A56" s="19" t="s">
        <v>9</v>
      </c>
      <c r="B56" s="34">
        <f t="shared" ref="B56:L56" si="20">B24/B41</f>
        <v>13.902212341975574</v>
      </c>
      <c r="C56" s="34">
        <f t="shared" si="20"/>
        <v>13.133162472394144</v>
      </c>
      <c r="D56" s="34">
        <f t="shared" si="20"/>
        <v>13.873821469923362</v>
      </c>
      <c r="E56" s="34">
        <f t="shared" si="20"/>
        <v>13.194384870345097</v>
      </c>
      <c r="F56" s="34">
        <f t="shared" si="20"/>
        <v>13.669108082122053</v>
      </c>
      <c r="G56" s="34">
        <f t="shared" si="20"/>
        <v>13.488480849232534</v>
      </c>
      <c r="H56" s="34">
        <f t="shared" si="20"/>
        <v>14.376717252544575</v>
      </c>
      <c r="I56" s="34">
        <f t="shared" si="20"/>
        <v>14.080442340322096</v>
      </c>
      <c r="J56" s="34">
        <f t="shared" si="20"/>
        <v>15.016415821813361</v>
      </c>
      <c r="K56" s="34">
        <f t="shared" si="20"/>
        <v>16.032551461892751</v>
      </c>
      <c r="L56" s="34">
        <f t="shared" si="20"/>
        <v>16.910494951946394</v>
      </c>
      <c r="M56" s="170">
        <f t="shared" ref="M56" si="21">M24/M41</f>
        <v>23.06507194821425</v>
      </c>
      <c r="N56" s="56"/>
      <c r="Q56" s="3" t="s">
        <v>103</v>
      </c>
      <c r="R56" s="3" t="s">
        <v>294</v>
      </c>
      <c r="S56" s="85">
        <f>VLOOKUP($Q56,Iedz_sk!$B$14:$R$123,3,FALSE)*B$62</f>
        <v>79659.355099300577</v>
      </c>
      <c r="T56" s="85">
        <f>VLOOKUP($Q56,Iedz_sk!$B$14:$R$123,4,FALSE)*C$62</f>
        <v>90487.308793995224</v>
      </c>
      <c r="U56" s="85">
        <f>VLOOKUP($Q56,Iedz_sk!$B$14:$R$123,5,FALSE)*D$62</f>
        <v>90275.63746120334</v>
      </c>
      <c r="V56" s="85">
        <f>VLOOKUP($Q56,Iedz_sk!$B$14:$R$123,6,FALSE)*E$62</f>
        <v>92570.757742402318</v>
      </c>
      <c r="W56" s="85">
        <f>VLOOKUP($Q56,Iedz_sk!$B$14:$R$123,7,FALSE)*F$62</f>
        <v>96466.887575296307</v>
      </c>
      <c r="X56" s="85">
        <f>VLOOKUP($Q56,Iedz_sk!$B$14:$R$123,8,FALSE)*G$62</f>
        <v>103801.81381965896</v>
      </c>
      <c r="Y56" s="91">
        <f>VLOOKUP($Q56,Iedz_sk!$B$14:$R$123,9,FALSE)*H$62</f>
        <v>110153.59983136802</v>
      </c>
      <c r="Z56" s="91">
        <f>VLOOKUP($Q56,Iedz_sk!$B$14:$R$123,10,FALSE)*I$62</f>
        <v>106928.65225686619</v>
      </c>
      <c r="AA56" s="91">
        <f>VLOOKUP($Q56,Iedz_sk!$B$14:$R$123,11,FALSE)*J$62</f>
        <v>112800.07406026185</v>
      </c>
      <c r="AB56" s="91">
        <f>VLOOKUP($Q56,Iedz_sk!$B$14:$R$123,16,FALSE)*K$62</f>
        <v>119118.6252588038</v>
      </c>
      <c r="AC56" s="162">
        <f>VLOOKUP($Q56,Iedz_sk!$B$14:$R$123,17,FALSE)*L$62</f>
        <v>124259.28080294872</v>
      </c>
      <c r="AD56" s="163">
        <f>VLOOKUP($Q56,Iedz_sk!$B$14:$Y$123,24,FALSE)*M$62</f>
        <v>156773.77881359757</v>
      </c>
    </row>
    <row r="57" spans="1:30" x14ac:dyDescent="0.35">
      <c r="A57" s="19" t="s">
        <v>5</v>
      </c>
      <c r="B57" s="34">
        <f t="shared" ref="B57:L57" si="22">B25/B42</f>
        <v>8.7671403596835891</v>
      </c>
      <c r="C57" s="34">
        <f t="shared" si="22"/>
        <v>9.0591816088746242</v>
      </c>
      <c r="D57" s="34">
        <f t="shared" si="22"/>
        <v>9.1615250087443165</v>
      </c>
      <c r="E57" s="34">
        <f t="shared" si="22"/>
        <v>9.6414386622964621</v>
      </c>
      <c r="F57" s="34">
        <f t="shared" si="22"/>
        <v>10.443085490721323</v>
      </c>
      <c r="G57" s="34">
        <f t="shared" si="22"/>
        <v>10.348828547611868</v>
      </c>
      <c r="H57" s="34">
        <f t="shared" si="22"/>
        <v>10.958929303152532</v>
      </c>
      <c r="I57" s="34">
        <f t="shared" si="22"/>
        <v>10.639112587065899</v>
      </c>
      <c r="J57" s="34">
        <f t="shared" si="22"/>
        <v>11.239629698775349</v>
      </c>
      <c r="K57" s="34">
        <f t="shared" si="22"/>
        <v>11.909919151152698</v>
      </c>
      <c r="L57" s="34">
        <f t="shared" si="22"/>
        <v>12.464693621571312</v>
      </c>
      <c r="M57" s="170">
        <f t="shared" ref="M57" si="23">M25/M42</f>
        <v>16.010215926700148</v>
      </c>
      <c r="N57" s="56"/>
      <c r="Q57" s="3" t="s">
        <v>105</v>
      </c>
      <c r="R57" s="3" t="s">
        <v>294</v>
      </c>
      <c r="S57" s="85">
        <f>VLOOKUP($Q57,Iedz_sk!$B$14:$R$123,3,FALSE)*B$62</f>
        <v>22066.797271641692</v>
      </c>
      <c r="T57" s="85">
        <f>VLOOKUP($Q57,Iedz_sk!$B$14:$R$123,4,FALSE)*C$62</f>
        <v>24431.785271909255</v>
      </c>
      <c r="U57" s="85">
        <f>VLOOKUP($Q57,Iedz_sk!$B$14:$R$123,5,FALSE)*D$62</f>
        <v>23704.731455907058</v>
      </c>
      <c r="V57" s="85">
        <f>VLOOKUP($Q57,Iedz_sk!$B$14:$R$123,6,FALSE)*E$62</f>
        <v>23810.695224312592</v>
      </c>
      <c r="W57" s="85">
        <f>VLOOKUP($Q57,Iedz_sk!$B$14:$R$123,7,FALSE)*F$62</f>
        <v>24152.043374221867</v>
      </c>
      <c r="X57" s="85">
        <f>VLOOKUP($Q57,Iedz_sk!$B$14:$R$123,8,FALSE)*G$62</f>
        <v>25301.799511578847</v>
      </c>
      <c r="Y57" s="91">
        <f>VLOOKUP($Q57,Iedz_sk!$B$14:$R$123,9,FALSE)*H$62</f>
        <v>26724.739368159615</v>
      </c>
      <c r="Z57" s="91">
        <f>VLOOKUP($Q57,Iedz_sk!$B$14:$R$123,10,FALSE)*I$62</f>
        <v>25295.616419463997</v>
      </c>
      <c r="AA57" s="91">
        <f>VLOOKUP($Q57,Iedz_sk!$B$14:$R$123,11,FALSE)*J$62</f>
        <v>27309.988629742758</v>
      </c>
      <c r="AB57" s="91">
        <f>VLOOKUP($Q57,Iedz_sk!$B$14:$R$123,16,FALSE)*K$62</f>
        <v>28021.935215266196</v>
      </c>
      <c r="AC57" s="162">
        <f>VLOOKUP($Q57,Iedz_sk!$B$14:$R$123,17,FALSE)*L$62</f>
        <v>28345.331898368899</v>
      </c>
      <c r="AD57" s="163">
        <f>VLOOKUP($Q57,Iedz_sk!$B$14:$Y$123,24,FALSE)*M$62</f>
        <v>26517.380827852379</v>
      </c>
    </row>
    <row r="58" spans="1:30" x14ac:dyDescent="0.35">
      <c r="A58" s="19" t="s">
        <v>3</v>
      </c>
      <c r="B58" s="34">
        <f t="shared" ref="B58:L58" si="24">B26/B43</f>
        <v>8.2955441805823611</v>
      </c>
      <c r="C58" s="34">
        <f t="shared" si="24"/>
        <v>8.3593192659761915</v>
      </c>
      <c r="D58" s="34">
        <f t="shared" si="24"/>
        <v>8.9797124114861635</v>
      </c>
      <c r="E58" s="34">
        <f t="shared" si="24"/>
        <v>9.0802197802197799</v>
      </c>
      <c r="F58" s="34">
        <f t="shared" si="24"/>
        <v>9.7142155987863639</v>
      </c>
      <c r="G58" s="34">
        <f t="shared" si="24"/>
        <v>10.569451956012259</v>
      </c>
      <c r="H58" s="34">
        <f t="shared" si="24"/>
        <v>11.167342080365392</v>
      </c>
      <c r="I58" s="34">
        <f t="shared" si="24"/>
        <v>10.871502334163909</v>
      </c>
      <c r="J58" s="34">
        <f t="shared" si="24"/>
        <v>11.557251911422149</v>
      </c>
      <c r="K58" s="34">
        <f t="shared" si="24"/>
        <v>12.356914701723777</v>
      </c>
      <c r="L58" s="34">
        <f t="shared" si="24"/>
        <v>13.052397323760903</v>
      </c>
      <c r="M58" s="170">
        <f t="shared" ref="M58" si="25">M26/M43</f>
        <v>18.016463123956168</v>
      </c>
      <c r="N58" s="56"/>
      <c r="Q58" s="3" t="s">
        <v>110</v>
      </c>
      <c r="R58" s="3" t="s">
        <v>294</v>
      </c>
      <c r="S58" s="85">
        <f>VLOOKUP($Q58,Iedz_sk!$B$14:$R$123,3,FALSE)*B$62</f>
        <v>54813.45714034151</v>
      </c>
      <c r="T58" s="85">
        <f>VLOOKUP($Q58,Iedz_sk!$B$14:$R$123,4,FALSE)*C$62</f>
        <v>61196.006821573224</v>
      </c>
      <c r="U58" s="85">
        <f>VLOOKUP($Q58,Iedz_sk!$B$14:$R$123,5,FALSE)*D$62</f>
        <v>60292.778268173926</v>
      </c>
      <c r="V58" s="85">
        <f>VLOOKUP($Q58,Iedz_sk!$B$14:$R$123,6,FALSE)*E$62</f>
        <v>61374.887409551375</v>
      </c>
      <c r="W58" s="85">
        <f>VLOOKUP($Q58,Iedz_sk!$B$14:$R$123,7,FALSE)*F$62</f>
        <v>63178.354604846209</v>
      </c>
      <c r="X58" s="85">
        <f>VLOOKUP($Q58,Iedz_sk!$B$14:$R$123,8,FALSE)*G$62</f>
        <v>67124.943831567245</v>
      </c>
      <c r="Y58" s="91">
        <f>VLOOKUP($Q58,Iedz_sk!$B$14:$R$123,9,FALSE)*H$62</f>
        <v>70520.307108021865</v>
      </c>
      <c r="Z58" s="91">
        <f>VLOOKUP($Q58,Iedz_sk!$B$14:$R$123,10,FALSE)*I$62</f>
        <v>68033.432470129977</v>
      </c>
      <c r="AA58" s="91">
        <f>VLOOKUP($Q58,Iedz_sk!$B$14:$R$123,11,FALSE)*J$62</f>
        <v>71731.214948660447</v>
      </c>
      <c r="AB58" s="91">
        <f>VLOOKUP($Q58,Iedz_sk!$B$14:$R$123,16,FALSE)*K$62</f>
        <v>74626.944944209652</v>
      </c>
      <c r="AC58" s="162">
        <f>VLOOKUP($Q58,Iedz_sk!$B$14:$R$123,17,FALSE)*L$62</f>
        <v>76631.777624629933</v>
      </c>
      <c r="AD58" s="163">
        <f>VLOOKUP($Q58,Iedz_sk!$B$14:$Y$123,24,FALSE)*M$62</f>
        <v>84071.434821795643</v>
      </c>
    </row>
    <row r="59" spans="1:30" x14ac:dyDescent="0.35">
      <c r="A59" s="19" t="s">
        <v>2</v>
      </c>
      <c r="B59" s="34">
        <f t="shared" ref="B59:L59" si="26">B27/B44</f>
        <v>8.1216249551489064</v>
      </c>
      <c r="C59" s="34">
        <f t="shared" si="26"/>
        <v>8.332917634406142</v>
      </c>
      <c r="D59" s="34">
        <f t="shared" si="26"/>
        <v>8.3204951697807594</v>
      </c>
      <c r="E59" s="34">
        <f t="shared" si="26"/>
        <v>8.4132055254024092</v>
      </c>
      <c r="F59" s="34">
        <f t="shared" si="26"/>
        <v>8.9971628522791747</v>
      </c>
      <c r="G59" s="34">
        <f t="shared" si="26"/>
        <v>8.3263903903903902</v>
      </c>
      <c r="H59" s="34">
        <f t="shared" si="26"/>
        <v>8.8214405657531678</v>
      </c>
      <c r="I59" s="34">
        <f t="shared" si="26"/>
        <v>8.6002696900987381</v>
      </c>
      <c r="J59" s="34">
        <f t="shared" si="26"/>
        <v>9.1639118902601897</v>
      </c>
      <c r="K59" s="34">
        <f t="shared" si="26"/>
        <v>9.8150905481601249</v>
      </c>
      <c r="L59" s="34">
        <f t="shared" si="26"/>
        <v>10.386293228921856</v>
      </c>
      <c r="M59" s="170">
        <f t="shared" ref="M59" si="27">M27/M44</f>
        <v>14.548536835670216</v>
      </c>
      <c r="N59" s="56"/>
      <c r="Q59" s="3" t="s">
        <v>8</v>
      </c>
      <c r="R59" s="3" t="s">
        <v>294</v>
      </c>
      <c r="S59" s="85">
        <f>VLOOKUP($Q59,$A$20:$L$28,2,FALSE)</f>
        <v>299721</v>
      </c>
      <c r="T59" s="85">
        <f>VLOOKUP($Q59,$A$20:$L$28,3,FALSE)</f>
        <v>332890</v>
      </c>
      <c r="U59" s="85">
        <f>VLOOKUP($Q59,$A$20:$L$28,4,FALSE)</f>
        <v>348612</v>
      </c>
      <c r="V59" s="85">
        <f>VLOOKUP($Q59,$A$20:$L$28,5,FALSE)</f>
        <v>360710</v>
      </c>
      <c r="W59" s="85">
        <f>VLOOKUP($Q59,$A$20:$L$28,6,FALSE)</f>
        <v>384069</v>
      </c>
      <c r="X59" s="85">
        <f>VLOOKUP($Q59,$A$20:$L$28,7,FALSE)</f>
        <v>390505</v>
      </c>
      <c r="Y59" s="91">
        <f>VLOOKUP($Q59,$A$20:$L$28,8,FALSE)</f>
        <v>410512.30344284588</v>
      </c>
      <c r="Z59" s="91">
        <f>VLOOKUP($Q59,$A$20:$L$28,9,FALSE)</f>
        <v>395292.54312492791</v>
      </c>
      <c r="AA59" s="91">
        <f>VLOOKUP($Q59,$A$20:$L$28,10,FALSE)</f>
        <v>416243.04791054904</v>
      </c>
      <c r="AB59" s="91">
        <f>VLOOKUP($Q59,$A$20:$L$28,11,FALSE)</f>
        <v>437471.44335398701</v>
      </c>
      <c r="AC59" s="162">
        <f>VLOOKUP($Q59,$A$20:$L$28,12,FALSE)</f>
        <v>454095.3582014385</v>
      </c>
      <c r="AD59" s="163">
        <f>VLOOKUP($Q59,$A$20:$M$28,13,FALSE)</f>
        <v>549455.38342374063</v>
      </c>
    </row>
    <row r="60" spans="1:30" x14ac:dyDescent="0.35">
      <c r="A60" s="19" t="s">
        <v>7</v>
      </c>
      <c r="B60" s="34">
        <f t="shared" ref="B60:L60" si="28">B28/B45</f>
        <v>9.3548901027441804</v>
      </c>
      <c r="C60" s="34">
        <f t="shared" si="28"/>
        <v>9.4097435554961937</v>
      </c>
      <c r="D60" s="34">
        <f t="shared" si="28"/>
        <v>9.9259474025309551</v>
      </c>
      <c r="E60" s="34">
        <f t="shared" si="28"/>
        <v>9.9798201589293178</v>
      </c>
      <c r="F60" s="34">
        <f t="shared" si="28"/>
        <v>10.866721090367005</v>
      </c>
      <c r="G60" s="34">
        <f t="shared" si="28"/>
        <v>10.039245631481744</v>
      </c>
      <c r="H60" s="34">
        <f t="shared" si="28"/>
        <v>10.681063330737171</v>
      </c>
      <c r="I60" s="34">
        <f t="shared" si="28"/>
        <v>10.558318746447462</v>
      </c>
      <c r="J60" s="34">
        <f t="shared" si="28"/>
        <v>11.226027469140009</v>
      </c>
      <c r="K60" s="34">
        <f t="shared" si="28"/>
        <v>12.056861641703675</v>
      </c>
      <c r="L60" s="34">
        <f t="shared" si="28"/>
        <v>12.795147646685278</v>
      </c>
      <c r="M60" s="170">
        <f t="shared" ref="M60" si="29">M28/M45</f>
        <v>18.36028081219623</v>
      </c>
      <c r="N60" s="56"/>
      <c r="Q60" s="3" t="s">
        <v>111</v>
      </c>
      <c r="R60" s="3" t="s">
        <v>294</v>
      </c>
      <c r="S60" s="85">
        <f>VLOOKUP($Q60,Iedz_sk!$B$14:$R$123,3,FALSE)*B$62</f>
        <v>21402.764364052586</v>
      </c>
      <c r="T60" s="85">
        <f>VLOOKUP($Q60,Iedz_sk!$B$14:$R$123,4,FALSE)*C$62</f>
        <v>23979.737206745282</v>
      </c>
      <c r="U60" s="85">
        <f>VLOOKUP($Q60,Iedz_sk!$B$14:$R$123,5,FALSE)*D$62</f>
        <v>23747.391440530766</v>
      </c>
      <c r="V60" s="85">
        <f>VLOOKUP($Q60,Iedz_sk!$B$14:$R$123,6,FALSE)*E$62</f>
        <v>24218.920984081044</v>
      </c>
      <c r="W60" s="85">
        <f>VLOOKUP($Q60,Iedz_sk!$B$14:$R$123,7,FALSE)*F$62</f>
        <v>25243.084657620253</v>
      </c>
      <c r="X60" s="85">
        <f>VLOOKUP($Q60,Iedz_sk!$B$14:$R$123,8,FALSE)*G$62</f>
        <v>26908.399344741916</v>
      </c>
      <c r="Y60" s="91">
        <f>VLOOKUP($Q60,Iedz_sk!$B$14:$R$123,9,FALSE)*H$62</f>
        <v>28017.428305007128</v>
      </c>
      <c r="Z60" s="91">
        <f>VLOOKUP($Q60,Iedz_sk!$B$14:$R$123,10,FALSE)*I$62</f>
        <v>26694.53395333705</v>
      </c>
      <c r="AA60" s="91">
        <f>VLOOKUP($Q60,Iedz_sk!$B$14:$R$123,11,FALSE)*J$62</f>
        <v>27810.482888863218</v>
      </c>
      <c r="AB60" s="91">
        <f>VLOOKUP($Q60,Iedz_sk!$B$14:$R$123,16,FALSE)*K$62</f>
        <v>29261.48419868261</v>
      </c>
      <c r="AC60" s="162">
        <f>VLOOKUP($Q60,Iedz_sk!$B$14:$R$123,17,FALSE)*L$62</f>
        <v>30408.578237007794</v>
      </c>
      <c r="AD60" s="163">
        <f>VLOOKUP($Q60,Iedz_sk!$B$14:$Y$123,24,FALSE)*M$62</f>
        <v>37193.618477070857</v>
      </c>
    </row>
    <row r="61" spans="1:30" x14ac:dyDescent="0.35">
      <c r="A61" s="96" t="s">
        <v>307</v>
      </c>
      <c r="B61" s="34">
        <f t="shared" ref="B61:L61" si="30">B30/B46</f>
        <v>9.8033464160297452</v>
      </c>
      <c r="C61" s="34">
        <f t="shared" si="30"/>
        <v>9.6747087819268298</v>
      </c>
      <c r="D61" s="34">
        <f t="shared" si="30"/>
        <v>10.266814063271513</v>
      </c>
      <c r="E61" s="34">
        <f t="shared" si="30"/>
        <v>11.037693314205539</v>
      </c>
      <c r="F61" s="34">
        <f t="shared" si="30"/>
        <v>12.31150821247487</v>
      </c>
      <c r="G61" s="34">
        <f t="shared" si="30"/>
        <v>12.574132680480085</v>
      </c>
      <c r="H61" s="34">
        <f t="shared" si="30"/>
        <v>13.09200542170989</v>
      </c>
      <c r="I61" s="34">
        <f t="shared" si="30"/>
        <v>12.43770565300844</v>
      </c>
      <c r="J61" s="34">
        <f t="shared" si="30"/>
        <v>12.973119835313064</v>
      </c>
      <c r="K61" s="34">
        <f t="shared" si="30"/>
        <v>13.676936288035021</v>
      </c>
      <c r="L61" s="34">
        <f t="shared" si="30"/>
        <v>14.240722152659579</v>
      </c>
      <c r="M61" s="170">
        <f t="shared" ref="M61" si="31">M30/M46</f>
        <v>17.614615137999937</v>
      </c>
      <c r="N61" s="56"/>
      <c r="Q61" s="3" t="s">
        <v>113</v>
      </c>
      <c r="R61" s="3" t="s">
        <v>294</v>
      </c>
      <c r="S61" s="85">
        <f>VLOOKUP($Q61,Iedz_sk!$B$14:$R$123,3,FALSE)*B$62</f>
        <v>25147.172148513378</v>
      </c>
      <c r="T61" s="85">
        <f>VLOOKUP($Q61,Iedz_sk!$B$14:$R$123,4,FALSE)*C$62</f>
        <v>28464.901603294104</v>
      </c>
      <c r="U61" s="85">
        <f>VLOOKUP($Q61,Iedz_sk!$B$14:$R$123,5,FALSE)*D$62</f>
        <v>28063.159884962555</v>
      </c>
      <c r="V61" s="85">
        <f>VLOOKUP($Q61,Iedz_sk!$B$14:$R$123,6,FALSE)*E$62</f>
        <v>28568.380897250361</v>
      </c>
      <c r="W61" s="85">
        <f>VLOOKUP($Q61,Iedz_sk!$B$14:$R$123,7,FALSE)*F$62</f>
        <v>29010.70923338447</v>
      </c>
      <c r="X61" s="85">
        <f>VLOOKUP($Q61,Iedz_sk!$B$14:$R$123,8,FALSE)*G$62</f>
        <v>31058.066293500007</v>
      </c>
      <c r="Y61" s="91">
        <f>VLOOKUP($Q61,Iedz_sk!$B$14:$R$123,9,FALSE)*H$62</f>
        <v>32482.247540785425</v>
      </c>
      <c r="Z61" s="91">
        <f>VLOOKUP($Q61,Iedz_sk!$B$14:$R$123,10,FALSE)*I$62</f>
        <v>32272.496271944794</v>
      </c>
      <c r="AA61" s="91">
        <f>VLOOKUP($Q61,Iedz_sk!$B$14:$R$123,11,FALSE)*J$62</f>
        <v>34128.042499270516</v>
      </c>
      <c r="AB61" s="91">
        <f>VLOOKUP($Q61,Iedz_sk!$B$14:$R$123,16,FALSE)*K$62</f>
        <v>35621.792916868486</v>
      </c>
      <c r="AC61" s="162">
        <f>VLOOKUP($Q61,Iedz_sk!$B$14:$R$123,17,FALSE)*L$62</f>
        <v>36706.340621439602</v>
      </c>
      <c r="AD61" s="163">
        <f>VLOOKUP($Q61,Iedz_sk!$B$14:$Y$123,24,FALSE)*M$62</f>
        <v>41602.684172913294</v>
      </c>
    </row>
    <row r="62" spans="1:30" x14ac:dyDescent="0.35">
      <c r="A62" s="96" t="s">
        <v>308</v>
      </c>
      <c r="B62" s="34">
        <f t="shared" ref="B62:L62" si="32">B31/B47</f>
        <v>6.1484528480472811</v>
      </c>
      <c r="C62" s="34">
        <f t="shared" si="32"/>
        <v>7.0632510181871222</v>
      </c>
      <c r="D62" s="34">
        <f t="shared" si="32"/>
        <v>7.1099974372846608</v>
      </c>
      <c r="E62" s="34">
        <f t="shared" si="32"/>
        <v>7.4222865412445733</v>
      </c>
      <c r="F62" s="34">
        <f t="shared" si="32"/>
        <v>7.8492178661754517</v>
      </c>
      <c r="G62" s="34">
        <f t="shared" si="32"/>
        <v>8.5914429580912888</v>
      </c>
      <c r="H62" s="34">
        <f t="shared" si="32"/>
        <v>9.1680066443086154</v>
      </c>
      <c r="I62" s="34">
        <f t="shared" si="32"/>
        <v>8.8539084422345109</v>
      </c>
      <c r="J62" s="34">
        <f t="shared" si="32"/>
        <v>9.4432879079331808</v>
      </c>
      <c r="K62" s="34">
        <f t="shared" si="32"/>
        <v>10.160237568987018</v>
      </c>
      <c r="L62" s="34">
        <f t="shared" si="32"/>
        <v>10.802336851512537</v>
      </c>
      <c r="M62" s="170">
        <f t="shared" ref="M62" si="33">M31/M47</f>
        <v>15.746663199437281</v>
      </c>
      <c r="N62" s="56"/>
      <c r="Q62" s="3" t="s">
        <v>12</v>
      </c>
      <c r="R62" s="3" t="s">
        <v>293</v>
      </c>
      <c r="S62" s="85">
        <f>VLOOKUP($Q62,Iedz_sk!$B$14:$R$123,3,FALSE)*B$63</f>
        <v>61693.641658440283</v>
      </c>
      <c r="T62" s="85">
        <f>VLOOKUP($Q62,Iedz_sk!$B$14:$R$123,4,FALSE)*C$63</f>
        <v>64462.481901345767</v>
      </c>
      <c r="U62" s="85">
        <f>VLOOKUP($Q62,Iedz_sk!$B$14:$R$123,5,FALSE)*D$63</f>
        <v>63086.647183399742</v>
      </c>
      <c r="V62" s="85">
        <f>VLOOKUP($Q62,Iedz_sk!$B$14:$R$123,6,FALSE)*E$63</f>
        <v>66363.31132095051</v>
      </c>
      <c r="W62" s="85">
        <f>VLOOKUP($Q62,Iedz_sk!$B$14:$R$123,7,FALSE)*F$63</f>
        <v>72395.411795466105</v>
      </c>
      <c r="X62" s="85">
        <f>VLOOKUP($Q62,Iedz_sk!$B$14:$R$123,8,FALSE)*G$63</f>
        <v>72771.516831298519</v>
      </c>
      <c r="Y62" s="91">
        <f>VLOOKUP($Q62,Iedz_sk!$B$14:$R$123,9,FALSE)*H$63</f>
        <v>76217.096129573634</v>
      </c>
      <c r="Z62" s="91">
        <f>VLOOKUP($Q62,Iedz_sk!$B$14:$R$123,10,FALSE)*I$63</f>
        <v>73598.814070544453</v>
      </c>
      <c r="AA62" s="91">
        <f>VLOOKUP($Q62,Iedz_sk!$B$14:$R$123,11,FALSE)*J$63</f>
        <v>77444.56019057885</v>
      </c>
      <c r="AB62" s="91">
        <f>VLOOKUP($Q62,Iedz_sk!$B$14:$R$123,16,FALSE)*K$63</f>
        <v>81467.568075940566</v>
      </c>
      <c r="AC62" s="162">
        <f>VLOOKUP($Q62,Iedz_sk!$B$14:$R$123,17,FALSE)*L$63</f>
        <v>84641.621598007841</v>
      </c>
      <c r="AD62" s="163">
        <f>VLOOKUP($Q62,Iedz_sk!$B$14:$Y$123,24,FALSE)*M$63</f>
        <v>103207.59680201909</v>
      </c>
    </row>
    <row r="63" spans="1:30" x14ac:dyDescent="0.35">
      <c r="A63" s="96" t="s">
        <v>309</v>
      </c>
      <c r="B63" s="34">
        <f t="shared" ref="B63:L63" si="34">B32/B48</f>
        <v>6.7424744981901945</v>
      </c>
      <c r="C63" s="34">
        <f t="shared" si="34"/>
        <v>7.1442404855752821</v>
      </c>
      <c r="D63" s="34">
        <f t="shared" si="34"/>
        <v>7.1019528518968524</v>
      </c>
      <c r="E63" s="34">
        <f t="shared" si="34"/>
        <v>7.640261492165612</v>
      </c>
      <c r="F63" s="34">
        <f t="shared" si="34"/>
        <v>8.4831745717677656</v>
      </c>
      <c r="G63" s="34">
        <f t="shared" si="34"/>
        <v>8.7099361856730724</v>
      </c>
      <c r="H63" s="34">
        <f t="shared" si="34"/>
        <v>9.303844742379594</v>
      </c>
      <c r="I63" s="34">
        <f t="shared" si="34"/>
        <v>8.9798455430142088</v>
      </c>
      <c r="J63" s="34">
        <f t="shared" si="34"/>
        <v>9.5811654324605779</v>
      </c>
      <c r="K63" s="34">
        <f t="shared" si="34"/>
        <v>10.252651406486354</v>
      </c>
      <c r="L63" s="34">
        <f t="shared" si="34"/>
        <v>10.838983429121249</v>
      </c>
      <c r="M63" s="170">
        <f t="shared" ref="M63" si="35">M32/M48</f>
        <v>15.066802452849503</v>
      </c>
      <c r="N63" s="56"/>
      <c r="Q63" s="3" t="s">
        <v>15</v>
      </c>
      <c r="R63" s="3" t="s">
        <v>293</v>
      </c>
      <c r="S63" s="85">
        <f>VLOOKUP($Q63,Iedz_sk!$B$14:$R$123,3,FALSE)*B$63</f>
        <v>9830.5278183613027</v>
      </c>
      <c r="T63" s="85">
        <f>VLOOKUP($Q63,Iedz_sk!$B$14:$R$123,4,FALSE)*C$63</f>
        <v>10373.437185055309</v>
      </c>
      <c r="U63" s="85">
        <f>VLOOKUP($Q63,Iedz_sk!$B$14:$R$123,5,FALSE)*D$63</f>
        <v>10056.365238285944</v>
      </c>
      <c r="V63" s="85">
        <f>VLOOKUP($Q63,Iedz_sk!$B$14:$R$123,6,FALSE)*E$63</f>
        <v>10558.841382172875</v>
      </c>
      <c r="W63" s="85">
        <f>VLOOKUP($Q63,Iedz_sk!$B$14:$R$123,7,FALSE)*F$63</f>
        <v>11409.869799027645</v>
      </c>
      <c r="X63" s="85">
        <f>VLOOKUP($Q63,Iedz_sk!$B$14:$R$123,8,FALSE)*G$63</f>
        <v>11514.535637459801</v>
      </c>
      <c r="Y63" s="91">
        <f>VLOOKUP($Q63,Iedz_sk!$B$14:$R$123,9,FALSE)*H$63</f>
        <v>11992.655872927297</v>
      </c>
      <c r="Z63" s="91">
        <f>VLOOKUP($Q63,Iedz_sk!$B$14:$R$123,10,FALSE)*I$63</f>
        <v>11718.698433633543</v>
      </c>
      <c r="AA63" s="91">
        <f>VLOOKUP($Q63,Iedz_sk!$B$14:$R$123,11,FALSE)*J$63</f>
        <v>12484.258558496133</v>
      </c>
      <c r="AB63" s="91">
        <f>VLOOKUP($Q63,Iedz_sk!$B$14:$R$123,16,FALSE)*K$63</f>
        <v>13102.888497489561</v>
      </c>
      <c r="AC63" s="162">
        <f>VLOOKUP($Q63,Iedz_sk!$B$14:$R$123,17,FALSE)*L$63</f>
        <v>13592.085220118046</v>
      </c>
      <c r="AD63" s="163">
        <f>VLOOKUP($Q63,Iedz_sk!$B$14:$Y$123,24,FALSE)*M$63</f>
        <v>16287.213451530313</v>
      </c>
    </row>
    <row r="64" spans="1:30" x14ac:dyDescent="0.35">
      <c r="A64" s="96" t="s">
        <v>310</v>
      </c>
      <c r="B64" s="34">
        <f t="shared" ref="B64:L64" si="36">B33/B49</f>
        <v>6.1717492435929637</v>
      </c>
      <c r="C64" s="34">
        <f t="shared" si="36"/>
        <v>6.7778650303760788</v>
      </c>
      <c r="D64" s="34">
        <f t="shared" si="36"/>
        <v>7.0709967829775673</v>
      </c>
      <c r="E64" s="34">
        <f t="shared" si="36"/>
        <v>7.2779953996477662</v>
      </c>
      <c r="F64" s="34">
        <f t="shared" si="36"/>
        <v>7.5531479182398789</v>
      </c>
      <c r="G64" s="34">
        <f t="shared" si="36"/>
        <v>7.8178457467507201</v>
      </c>
      <c r="H64" s="34">
        <f t="shared" si="36"/>
        <v>8.3211974508864763</v>
      </c>
      <c r="I64" s="34">
        <f t="shared" si="36"/>
        <v>8.0115313087049227</v>
      </c>
      <c r="J64" s="34">
        <f t="shared" si="36"/>
        <v>8.5342013124694311</v>
      </c>
      <c r="K64" s="34">
        <f t="shared" si="36"/>
        <v>9.1177594372096724</v>
      </c>
      <c r="L64" s="34">
        <f t="shared" si="36"/>
        <v>9.6234270103343214</v>
      </c>
      <c r="M64" s="170">
        <f t="shared" ref="M64" si="37">M33/M49</f>
        <v>13.198774808072089</v>
      </c>
      <c r="N64" s="56"/>
      <c r="Q64" s="3" t="s">
        <v>27</v>
      </c>
      <c r="R64" s="3" t="s">
        <v>293</v>
      </c>
      <c r="S64" s="85">
        <f>VLOOKUP($Q64,Iedz_sk!$B$14:$R$123,3,FALSE)*B$63</f>
        <v>40326.739973675554</v>
      </c>
      <c r="T64" s="85">
        <f>VLOOKUP($Q64,Iedz_sk!$B$14:$R$123,4,FALSE)*C$63</f>
        <v>41636.633549932747</v>
      </c>
      <c r="U64" s="85">
        <f>VLOOKUP($Q64,Iedz_sk!$B$14:$R$123,5,FALSE)*D$63</f>
        <v>41084.797248223294</v>
      </c>
      <c r="V64" s="85">
        <f>VLOOKUP($Q64,Iedz_sk!$B$14:$R$123,6,FALSE)*E$63</f>
        <v>43350.843706547683</v>
      </c>
      <c r="W64" s="85">
        <f>VLOOKUP($Q64,Iedz_sk!$B$14:$R$123,7,FALSE)*F$63</f>
        <v>47149.484269885244</v>
      </c>
      <c r="X64" s="85">
        <f>VLOOKUP($Q64,Iedz_sk!$B$14:$R$123,8,FALSE)*G$63</f>
        <v>48967.261235854014</v>
      </c>
      <c r="Y64" s="91">
        <f>VLOOKUP($Q64,Iedz_sk!$B$14:$R$123,9,FALSE)*H$63</f>
        <v>52417.861278566634</v>
      </c>
      <c r="Z64" s="91">
        <f>VLOOKUP($Q64,Iedz_sk!$B$14:$R$123,10,FALSE)*I$63</f>
        <v>51050.421912035774</v>
      </c>
      <c r="AA64" s="91">
        <f>VLOOKUP($Q64,Iedz_sk!$B$14:$R$123,11,FALSE)*J$63</f>
        <v>54344.370332916398</v>
      </c>
      <c r="AB64" s="91">
        <f>VLOOKUP($Q64,Iedz_sk!$B$14:$R$123,16,FALSE)*K$63</f>
        <v>56963.731214438187</v>
      </c>
      <c r="AC64" s="162">
        <f>VLOOKUP($Q64,Iedz_sk!$B$14:$R$123,17,FALSE)*L$63</f>
        <v>58964.069854419598</v>
      </c>
      <c r="AD64" s="163">
        <f>VLOOKUP($Q64,Iedz_sk!$B$14:$Y$123,24,FALSE)*M$63</f>
        <v>69759.295356693197</v>
      </c>
    </row>
    <row r="65" spans="1:30" x14ac:dyDescent="0.35">
      <c r="A65" s="96" t="s">
        <v>311</v>
      </c>
      <c r="B65" s="34">
        <f t="shared" ref="B65:L65" si="38">B34/B50</f>
        <v>4.2610950941910684</v>
      </c>
      <c r="C65" s="34">
        <f t="shared" si="38"/>
        <v>4.3989413039487939</v>
      </c>
      <c r="D65" s="34">
        <f t="shared" si="38"/>
        <v>4.6162975112917524</v>
      </c>
      <c r="E65" s="34">
        <f t="shared" si="38"/>
        <v>4.7814776403190358</v>
      </c>
      <c r="F65" s="34">
        <f t="shared" si="38"/>
        <v>5.3910063831814288</v>
      </c>
      <c r="G65" s="34">
        <f t="shared" si="38"/>
        <v>5.8382089396615209</v>
      </c>
      <c r="H65" s="34">
        <f t="shared" si="38"/>
        <v>6.2868243102114887</v>
      </c>
      <c r="I65" s="34">
        <f t="shared" si="38"/>
        <v>6.106776156516907</v>
      </c>
      <c r="J65" s="34">
        <f t="shared" si="38"/>
        <v>6.5759012189973536</v>
      </c>
      <c r="K65" s="34">
        <f t="shared" si="38"/>
        <v>7.0735763092401784</v>
      </c>
      <c r="L65" s="34">
        <f t="shared" si="38"/>
        <v>7.5189469549376575</v>
      </c>
      <c r="M65" s="170">
        <f t="shared" ref="M65" si="39">M34/M50</f>
        <v>10.939777110745341</v>
      </c>
      <c r="N65" s="56"/>
      <c r="Q65" s="3" t="s">
        <v>36</v>
      </c>
      <c r="R65" s="3" t="s">
        <v>293</v>
      </c>
      <c r="S65" s="85">
        <f>VLOOKUP($Q65,Iedz_sk!$B$14:$R$123,3,FALSE)*B$63</f>
        <v>28271.195570911485</v>
      </c>
      <c r="T65" s="85">
        <f>VLOOKUP($Q65,Iedz_sk!$B$14:$R$123,4,FALSE)*C$63</f>
        <v>29577.155610281668</v>
      </c>
      <c r="U65" s="85">
        <f>VLOOKUP($Q65,Iedz_sk!$B$14:$R$123,5,FALSE)*D$63</f>
        <v>28684.787568811385</v>
      </c>
      <c r="V65" s="85">
        <f>VLOOKUP($Q65,Iedz_sk!$B$14:$R$123,6,FALSE)*E$63</f>
        <v>30278.356293452322</v>
      </c>
      <c r="W65" s="85">
        <f>VLOOKUP($Q65,Iedz_sk!$B$14:$R$123,7,FALSE)*F$63</f>
        <v>32626.289403018825</v>
      </c>
      <c r="X65" s="85">
        <f>VLOOKUP($Q65,Iedz_sk!$B$14:$R$123,8,FALSE)*G$63</f>
        <v>32575.161334417291</v>
      </c>
      <c r="Y65" s="91">
        <f>VLOOKUP($Q65,Iedz_sk!$B$14:$R$123,9,FALSE)*H$63</f>
        <v>33875.298707004105</v>
      </c>
      <c r="Z65" s="91">
        <f>VLOOKUP($Q65,Iedz_sk!$B$14:$R$123,10,FALSE)*I$63</f>
        <v>32040.088897474696</v>
      </c>
      <c r="AA65" s="91">
        <f>VLOOKUP($Q65,Iedz_sk!$B$14:$R$123,11,FALSE)*J$63</f>
        <v>33409.523862990034</v>
      </c>
      <c r="AB65" s="91">
        <f>VLOOKUP($Q65,Iedz_sk!$B$14:$R$123,16,FALSE)*K$63</f>
        <v>35176.846975654684</v>
      </c>
      <c r="AC65" s="162">
        <f>VLOOKUP($Q65,Iedz_sk!$B$14:$R$123,17,FALSE)*L$63</f>
        <v>36570.730089855097</v>
      </c>
      <c r="AD65" s="163">
        <f>VLOOKUP($Q65,Iedz_sk!$B$14:$Y$123,24,FALSE)*M$63</f>
        <v>44884.00450703867</v>
      </c>
    </row>
    <row r="66" spans="1:30" x14ac:dyDescent="0.35">
      <c r="Q66" s="3" t="s">
        <v>37</v>
      </c>
      <c r="R66" s="3" t="s">
        <v>293</v>
      </c>
      <c r="S66" s="85">
        <f>VLOOKUP($Q66,Iedz_sk!$B$14:$R$123,3,FALSE)*B$63</f>
        <v>20018.406785126688</v>
      </c>
      <c r="T66" s="85">
        <f>VLOOKUP($Q66,Iedz_sk!$B$14:$R$123,4,FALSE)*C$63</f>
        <v>20868.326458365398</v>
      </c>
      <c r="U66" s="85">
        <f>VLOOKUP($Q66,Iedz_sk!$B$14:$R$123,5,FALSE)*D$63</f>
        <v>20268.973439313617</v>
      </c>
      <c r="V66" s="85">
        <f>VLOOKUP($Q66,Iedz_sk!$B$14:$R$123,6,FALSE)*E$63</f>
        <v>21217.006163743903</v>
      </c>
      <c r="W66" s="85">
        <f>VLOOKUP($Q66,Iedz_sk!$B$14:$R$123,7,FALSE)*F$63</f>
        <v>23150.583406354232</v>
      </c>
      <c r="X66" s="85">
        <f>VLOOKUP($Q66,Iedz_sk!$B$14:$R$123,8,FALSE)*G$63</f>
        <v>23351.338913789506</v>
      </c>
      <c r="Y66" s="91">
        <f>VLOOKUP($Q66,Iedz_sk!$B$14:$R$123,9,FALSE)*H$63</f>
        <v>24431.896293488815</v>
      </c>
      <c r="Z66" s="91">
        <f>VLOOKUP($Q66,Iedz_sk!$B$14:$R$123,10,FALSE)*I$63</f>
        <v>23949.248063218896</v>
      </c>
      <c r="AA66" s="91">
        <f>VLOOKUP($Q66,Iedz_sk!$B$14:$R$123,11,FALSE)*J$63</f>
        <v>25102.653433046715</v>
      </c>
      <c r="AB66" s="91">
        <f>VLOOKUP($Q66,Iedz_sk!$B$14:$R$123,16,FALSE)*K$63</f>
        <v>26277.545554824526</v>
      </c>
      <c r="AC66" s="162">
        <f>VLOOKUP($Q66,Iedz_sk!$B$14:$R$123,17,FALSE)*L$63</f>
        <v>27162.49247337785</v>
      </c>
      <c r="AD66" s="163">
        <f>VLOOKUP($Q66,Iedz_sk!$B$14:$Y$123,24,FALSE)*M$63</f>
        <v>31745.752768153903</v>
      </c>
    </row>
    <row r="67" spans="1:30" x14ac:dyDescent="0.35">
      <c r="A67" s="207" t="s">
        <v>408</v>
      </c>
      <c r="B67" s="216" t="s">
        <v>401</v>
      </c>
      <c r="C67" s="216"/>
      <c r="D67" s="216"/>
      <c r="E67" s="216"/>
      <c r="F67" s="216"/>
      <c r="G67" s="216"/>
      <c r="H67" s="216"/>
      <c r="I67" s="216"/>
      <c r="J67" s="216" t="s">
        <v>290</v>
      </c>
      <c r="K67" s="216"/>
      <c r="L67" s="216"/>
      <c r="M67" s="146"/>
      <c r="N67" s="207" t="s">
        <v>142</v>
      </c>
      <c r="O67" s="217" t="s">
        <v>402</v>
      </c>
      <c r="Q67" s="3" t="s">
        <v>41</v>
      </c>
      <c r="R67" s="3" t="s">
        <v>293</v>
      </c>
      <c r="S67" s="85">
        <f>VLOOKUP($Q67,Iedz_sk!$B$14:$R$123,3,FALSE)*B$63</f>
        <v>61653.186811451138</v>
      </c>
      <c r="T67" s="85">
        <f>VLOOKUP($Q67,Iedz_sk!$B$14:$R$123,4,FALSE)*C$63</f>
        <v>64662.52063494188</v>
      </c>
      <c r="U67" s="85">
        <f>VLOOKUP($Q67,Iedz_sk!$B$14:$R$123,5,FALSE)*D$63</f>
        <v>63413.337014586992</v>
      </c>
      <c r="V67" s="85">
        <f>VLOOKUP($Q67,Iedz_sk!$B$14:$R$123,6,FALSE)*E$63</f>
        <v>66966.891978831583</v>
      </c>
      <c r="W67" s="85">
        <f>VLOOKUP($Q67,Iedz_sk!$B$14:$R$123,7,FALSE)*F$63</f>
        <v>73082.548935779298</v>
      </c>
      <c r="X67" s="85">
        <f>VLOOKUP($Q67,Iedz_sk!$B$14:$R$123,8,FALSE)*G$63</f>
        <v>73851.548918321976</v>
      </c>
      <c r="Y67" s="91">
        <f>VLOOKUP($Q67,Iedz_sk!$B$14:$R$123,9,FALSE)*H$63</f>
        <v>78096.472767534317</v>
      </c>
      <c r="Z67" s="91">
        <f>VLOOKUP($Q67,Iedz_sk!$B$14:$R$123,10,FALSE)*I$63</f>
        <v>75412.742870233327</v>
      </c>
      <c r="AA67" s="91">
        <f>VLOOKUP($Q67,Iedz_sk!$B$14:$R$123,11,FALSE)*J$63</f>
        <v>79801.526886964159</v>
      </c>
      <c r="AB67" s="91">
        <f>VLOOKUP($Q67,Iedz_sk!$B$14:$R$123,16,FALSE)*K$63</f>
        <v>83928.204413497297</v>
      </c>
      <c r="AC67" s="162">
        <f>VLOOKUP($Q67,Iedz_sk!$B$14:$R$123,17,FALSE)*L$63</f>
        <v>87177.943720422205</v>
      </c>
      <c r="AD67" s="163">
        <f>VLOOKUP($Q67,Iedz_sk!$B$14:$Y$123,24,FALSE)*M$63</f>
        <v>106085.35607051334</v>
      </c>
    </row>
    <row r="68" spans="1:30" x14ac:dyDescent="0.35">
      <c r="A68" s="207"/>
      <c r="B68" s="90">
        <v>2013</v>
      </c>
      <c r="C68" s="90">
        <v>2014</v>
      </c>
      <c r="D68" s="90">
        <v>2015</v>
      </c>
      <c r="E68" s="90">
        <v>2016</v>
      </c>
      <c r="F68" s="90">
        <v>2017</v>
      </c>
      <c r="G68" s="90">
        <v>2018</v>
      </c>
      <c r="H68" s="90">
        <v>2019</v>
      </c>
      <c r="I68" s="90">
        <v>2020</v>
      </c>
      <c r="J68" s="90">
        <v>2021</v>
      </c>
      <c r="K68" s="90">
        <v>2022</v>
      </c>
      <c r="L68" s="90">
        <v>2023</v>
      </c>
      <c r="M68" s="166">
        <v>2030</v>
      </c>
      <c r="N68" s="207"/>
      <c r="O68" s="218"/>
      <c r="Q68" s="3" t="s">
        <v>59</v>
      </c>
      <c r="R68" s="3" t="s">
        <v>293</v>
      </c>
      <c r="S68" s="85">
        <f>VLOOKUP($Q68,Iedz_sk!$B$14:$R$123,3,FALSE)*B$63</f>
        <v>165453.58171108918</v>
      </c>
      <c r="T68" s="85">
        <f>VLOOKUP($Q68,Iedz_sk!$B$14:$R$123,4,FALSE)*C$63</f>
        <v>172819.17734606608</v>
      </c>
      <c r="U68" s="85">
        <f>VLOOKUP($Q68,Iedz_sk!$B$14:$R$123,5,FALSE)*D$63</f>
        <v>169722.46925463097</v>
      </c>
      <c r="V68" s="85">
        <f>VLOOKUP($Q68,Iedz_sk!$B$14:$R$123,6,FALSE)*E$63</f>
        <v>179660.74898827437</v>
      </c>
      <c r="W68" s="85">
        <f>VLOOKUP($Q68,Iedz_sk!$B$14:$R$123,7,FALSE)*F$63</f>
        <v>195019.70023036917</v>
      </c>
      <c r="X68" s="85">
        <f>VLOOKUP($Q68,Iedz_sk!$B$14:$R$123,8,FALSE)*G$63</f>
        <v>197105.85588178164</v>
      </c>
      <c r="Y68" s="91">
        <f>VLOOKUP($Q68,Iedz_sk!$B$14:$R$123,9,FALSE)*H$63</f>
        <v>207596.68773671589</v>
      </c>
      <c r="Z68" s="91">
        <f>VLOOKUP($Q68,Iedz_sk!$B$14:$R$123,10,FALSE)*I$63</f>
        <v>199478.28889251762</v>
      </c>
      <c r="AA68" s="91">
        <f>VLOOKUP($Q68,Iedz_sk!$B$14:$R$123,11,FALSE)*J$63</f>
        <v>209894.59112891389</v>
      </c>
      <c r="AB68" s="91">
        <f>VLOOKUP($Q68,Iedz_sk!$B$14:$R$123,16,FALSE)*K$63</f>
        <v>221149.69083791066</v>
      </c>
      <c r="AC68" s="162">
        <f>VLOOKUP($Q68,Iedz_sk!$B$14:$R$123,17,FALSE)*L$63</f>
        <v>230154.97413396061</v>
      </c>
      <c r="AD68" s="163">
        <f>VLOOKUP($Q68,Iedz_sk!$B$14:$Y$123,24,FALSE)*M$63</f>
        <v>284431.09670489293</v>
      </c>
    </row>
    <row r="69" spans="1:30" x14ac:dyDescent="0.35">
      <c r="A69" s="215" t="s">
        <v>0</v>
      </c>
      <c r="B69" s="215"/>
      <c r="C69" s="215"/>
      <c r="D69" s="215"/>
      <c r="E69" s="215"/>
      <c r="F69" s="215"/>
      <c r="G69" s="215"/>
      <c r="H69" s="215"/>
      <c r="I69" s="215"/>
      <c r="J69" s="215"/>
      <c r="K69" s="215"/>
      <c r="L69" s="215"/>
      <c r="M69" s="215"/>
      <c r="N69" s="215"/>
      <c r="O69" s="215"/>
      <c r="Q69" s="3" t="s">
        <v>6</v>
      </c>
      <c r="R69" s="3" t="s">
        <v>293</v>
      </c>
      <c r="S69" s="85">
        <f>VLOOKUP($Q69,$A$20:$L$28,2,FALSE)</f>
        <v>717871</v>
      </c>
      <c r="T69" s="85">
        <f>VLOOKUP($Q69,$A$20:$L$28,3,FALSE)</f>
        <v>704779</v>
      </c>
      <c r="U69" s="85">
        <f>VLOOKUP($Q69,$A$20:$L$28,4,FALSE)</f>
        <v>747871</v>
      </c>
      <c r="V69" s="85">
        <f>VLOOKUP($Q69,$A$20:$L$28,5,FALSE)</f>
        <v>797249</v>
      </c>
      <c r="W69" s="85">
        <f>VLOOKUP($Q69,$A$20:$L$28,6,FALSE)</f>
        <v>835320</v>
      </c>
      <c r="X69" s="85">
        <f>VLOOKUP($Q69,$A$20:$L$28,7,FALSE)</f>
        <v>897384</v>
      </c>
      <c r="Y69" s="91">
        <f>VLOOKUP($Q69,$A$20:$L$28,8,FALSE)</f>
        <v>943360.96314453031</v>
      </c>
      <c r="Z69" s="91">
        <f>VLOOKUP($Q69,$A$20:$L$28,9,FALSE)</f>
        <v>908385.81713325123</v>
      </c>
      <c r="AA69" s="91">
        <f>VLOOKUP($Q69,$A$20:$L$28,10,FALSE)</f>
        <v>956530.2654413135</v>
      </c>
      <c r="AB69" s="91">
        <f>VLOOKUP($Q69,$A$20:$L$28,11,FALSE)</f>
        <v>1005313.3089788205</v>
      </c>
      <c r="AC69" s="162">
        <f>VLOOKUP($Q69,$A$20:$L$28,12,FALSE)</f>
        <v>1043515.2147200156</v>
      </c>
      <c r="AD69" s="163">
        <f>VLOOKUP($Q69,$A$20:$M$28,13,FALSE)</f>
        <v>1262653.409811219</v>
      </c>
    </row>
    <row r="70" spans="1:30" x14ac:dyDescent="0.35">
      <c r="A70" s="98" t="s">
        <v>135</v>
      </c>
      <c r="B70" s="3"/>
      <c r="C70" s="3"/>
      <c r="D70" s="3"/>
      <c r="E70" s="3"/>
      <c r="F70" s="3"/>
      <c r="G70" s="3"/>
      <c r="H70" s="3"/>
      <c r="I70" s="3"/>
      <c r="J70" s="93">
        <f>ROUNDUP(J37*(Riga_iedz!$G$5+Riga_iedz!$G$7),0)</f>
        <v>183869</v>
      </c>
      <c r="K70" s="93">
        <f>ROUNDUP(K37*(Riga_iedz!$G$5+Riga_iedz!$G$7),0)</f>
        <v>184214</v>
      </c>
      <c r="L70" s="93">
        <f>ROUNDUP(L37*(Riga_iedz!$G$5+Riga_iedz!$G$7),0)</f>
        <v>184559</v>
      </c>
      <c r="M70" s="169">
        <f>ROUNDUP(M37*(Riga_iedz!$G$5+Riga_iedz!$G$7),0)</f>
        <v>186975</v>
      </c>
      <c r="N70" s="3"/>
      <c r="O70" s="3"/>
      <c r="Q70" s="3" t="s">
        <v>72</v>
      </c>
      <c r="R70" s="3" t="s">
        <v>293</v>
      </c>
      <c r="S70" s="85">
        <f>VLOOKUP($Q70,Iedz_sk!$B$14:$R$123,3,FALSE)*B$63</f>
        <v>10828.414044093452</v>
      </c>
      <c r="T70" s="85">
        <f>VLOOKUP($Q70,Iedz_sk!$B$14:$R$123,4,FALSE)*C$63</f>
        <v>11537.948384204081</v>
      </c>
      <c r="U70" s="85">
        <f>VLOOKUP($Q70,Iedz_sk!$B$14:$R$123,5,FALSE)*D$63</f>
        <v>11235.28941170082</v>
      </c>
      <c r="V70" s="85">
        <f>VLOOKUP($Q70,Iedz_sk!$B$14:$R$123,6,FALSE)*E$63</f>
        <v>11872.966358825361</v>
      </c>
      <c r="W70" s="85">
        <f>VLOOKUP($Q70,Iedz_sk!$B$14:$R$123,7,FALSE)*F$63</f>
        <v>12902.908523658771</v>
      </c>
      <c r="X70" s="85">
        <f>VLOOKUP($Q70,Iedz_sk!$B$14:$R$123,8,FALSE)*G$63</f>
        <v>12873.285682424801</v>
      </c>
      <c r="Y70" s="91">
        <f>VLOOKUP($Q70,Iedz_sk!$B$14:$R$123,9,FALSE)*H$63</f>
        <v>13388.232584284237</v>
      </c>
      <c r="Z70" s="91">
        <f>VLOOKUP($Q70,Iedz_sk!$B$14:$R$123,10,FALSE)*I$63</f>
        <v>13056.695419542659</v>
      </c>
      <c r="AA70" s="91">
        <f>VLOOKUP($Q70,Iedz_sk!$B$14:$R$123,11,FALSE)*J$63</f>
        <v>13710.647733851087</v>
      </c>
      <c r="AB70" s="91">
        <f>VLOOKUP($Q70,Iedz_sk!$B$14:$R$123,16,FALSE)*K$63</f>
        <v>14435.733180332787</v>
      </c>
      <c r="AC70" s="162">
        <f>VLOOKUP($Q70,Iedz_sk!$B$14:$R$123,17,FALSE)*L$63</f>
        <v>15011.99204933293</v>
      </c>
      <c r="AD70" s="163">
        <f>VLOOKUP($Q70,Iedz_sk!$B$14:$Y$123,24,FALSE)*M$63</f>
        <v>18411.632597382093</v>
      </c>
    </row>
    <row r="71" spans="1:30" x14ac:dyDescent="0.35">
      <c r="A71" s="98" t="s">
        <v>136</v>
      </c>
      <c r="B71" s="3"/>
      <c r="C71" s="3"/>
      <c r="D71" s="3"/>
      <c r="E71" s="3"/>
      <c r="F71" s="3"/>
      <c r="G71" s="3"/>
      <c r="H71" s="3"/>
      <c r="I71" s="3"/>
      <c r="J71" s="93">
        <f>ROUNDUP(J37*Riga_iedz!$G$6,0)</f>
        <v>112248</v>
      </c>
      <c r="K71" s="93">
        <f>ROUNDUP(K37*Riga_iedz!$G$6,0)</f>
        <v>112459</v>
      </c>
      <c r="L71" s="93">
        <f>ROUNDUP(L37*Riga_iedz!$G$6,0)</f>
        <v>112669</v>
      </c>
      <c r="M71" s="169">
        <f>ROUNDUP(M37*Riga_iedz!$G$6,0)</f>
        <v>114144</v>
      </c>
      <c r="N71" s="3"/>
      <c r="O71" s="3"/>
      <c r="Q71" s="3" t="s">
        <v>75</v>
      </c>
      <c r="R71" s="3" t="s">
        <v>293</v>
      </c>
      <c r="S71" s="85">
        <f>VLOOKUP($Q71,Iedz_sk!$B$14:$R$123,3,FALSE)*B$63</f>
        <v>23780.707555116816</v>
      </c>
      <c r="T71" s="85">
        <f>VLOOKUP($Q71,Iedz_sk!$B$14:$R$123,4,FALSE)*C$63</f>
        <v>24876.245370773133</v>
      </c>
      <c r="U71" s="85">
        <f>VLOOKUP($Q71,Iedz_sk!$B$14:$R$123,5,FALSE)*D$63</f>
        <v>24281.576800635339</v>
      </c>
      <c r="V71" s="85">
        <f>VLOOKUP($Q71,Iedz_sk!$B$14:$R$123,6,FALSE)*E$63</f>
        <v>25335.10710802117</v>
      </c>
      <c r="W71" s="85">
        <f>VLOOKUP($Q71,Iedz_sk!$B$14:$R$123,7,FALSE)*F$63</f>
        <v>27807.846246254736</v>
      </c>
      <c r="X71" s="85">
        <f>VLOOKUP($Q71,Iedz_sk!$B$14:$R$123,8,FALSE)*G$63</f>
        <v>27950.185219824889</v>
      </c>
      <c r="Y71" s="91">
        <f>VLOOKUP($Q71,Iedz_sk!$B$14:$R$123,9,FALSE)*H$63</f>
        <v>29325.718627980481</v>
      </c>
      <c r="Z71" s="91">
        <f>VLOOKUP($Q71,Iedz_sk!$B$14:$R$123,10,FALSE)*I$63</f>
        <v>27945.279329860219</v>
      </c>
      <c r="AA71" s="91">
        <f>VLOOKUP($Q71,Iedz_sk!$B$14:$R$123,11,FALSE)*J$63</f>
        <v>29826.167991249778</v>
      </c>
      <c r="AB71" s="91">
        <f>VLOOKUP($Q71,Iedz_sk!$B$14:$R$123,16,FALSE)*K$63</f>
        <v>31352.608001035271</v>
      </c>
      <c r="AC71" s="162">
        <f>VLOOKUP($Q71,Iedz_sk!$B$14:$R$123,17,FALSE)*L$63</f>
        <v>32549.467237651112</v>
      </c>
      <c r="AD71" s="163">
        <f>VLOOKUP($Q71,Iedz_sk!$B$14:$Y$123,24,FALSE)*M$63</f>
        <v>39414.755216654303</v>
      </c>
    </row>
    <row r="72" spans="1:30" x14ac:dyDescent="0.35">
      <c r="A72" s="98" t="s">
        <v>137</v>
      </c>
      <c r="B72" s="3"/>
      <c r="C72" s="3"/>
      <c r="D72" s="3"/>
      <c r="E72" s="3"/>
      <c r="F72" s="3"/>
      <c r="G72" s="3"/>
      <c r="H72" s="3"/>
      <c r="I72" s="3"/>
      <c r="J72" s="93">
        <f>ROUNDUP(J37*Riga_iedz!$G$9,0)</f>
        <v>90127</v>
      </c>
      <c r="K72" s="93">
        <f>ROUNDUP(K37*Riga_iedz!$G$9,0)</f>
        <v>90296</v>
      </c>
      <c r="L72" s="93">
        <f>ROUNDUP(L37*Riga_iedz!$G$9,0)</f>
        <v>90465</v>
      </c>
      <c r="M72" s="169">
        <f>ROUNDUP(M37*Riga_iedz!$G$9,0)</f>
        <v>91649</v>
      </c>
      <c r="N72" s="3"/>
      <c r="O72" s="3"/>
      <c r="Q72" s="3" t="s">
        <v>80</v>
      </c>
      <c r="R72" s="3" t="s">
        <v>293</v>
      </c>
      <c r="S72" s="85">
        <f>VLOOKUP($Q72,Iedz_sk!$B$14:$R$123,3,FALSE)*B$63</f>
        <v>19007.035610398158</v>
      </c>
      <c r="T72" s="85">
        <f>VLOOKUP($Q72,Iedz_sk!$B$14:$R$123,4,FALSE)*C$63</f>
        <v>19589.507411447423</v>
      </c>
      <c r="U72" s="85">
        <f>VLOOKUP($Q72,Iedz_sk!$B$14:$R$123,5,FALSE)*D$63</f>
        <v>19182.374652973398</v>
      </c>
      <c r="V72" s="85">
        <f>VLOOKUP($Q72,Iedz_sk!$B$14:$R$123,6,FALSE)*E$63</f>
        <v>20307.815046176198</v>
      </c>
      <c r="W72" s="85">
        <f>VLOOKUP($Q72,Iedz_sk!$B$14:$R$123,7,FALSE)*F$63</f>
        <v>22191.984679744473</v>
      </c>
      <c r="X72" s="85">
        <f>VLOOKUP($Q72,Iedz_sk!$B$14:$R$123,8,FALSE)*G$63</f>
        <v>22428.08567810816</v>
      </c>
      <c r="Y72" s="91">
        <f>VLOOKUP($Q72,Iedz_sk!$B$14:$R$123,9,FALSE)*H$63</f>
        <v>23557.334887705132</v>
      </c>
      <c r="Z72" s="91">
        <f>VLOOKUP($Q72,Iedz_sk!$B$14:$R$123,10,FALSE)*I$63</f>
        <v>23320.658875207901</v>
      </c>
      <c r="AA72" s="91">
        <f>VLOOKUP($Q72,Iedz_sk!$B$14:$R$123,11,FALSE)*J$63</f>
        <v>24364.903694747249</v>
      </c>
      <c r="AB72" s="91">
        <f>VLOOKUP($Q72,Iedz_sk!$B$14:$R$123,16,FALSE)*K$63</f>
        <v>25611.123213402912</v>
      </c>
      <c r="AC72" s="162">
        <f>VLOOKUP($Q72,Iedz_sk!$B$14:$R$123,17,FALSE)*L$63</f>
        <v>26588.026351634424</v>
      </c>
      <c r="AD72" s="163">
        <f>VLOOKUP($Q72,Iedz_sk!$B$14:$Y$123,24,FALSE)*M$63</f>
        <v>32197.756841739389</v>
      </c>
    </row>
    <row r="73" spans="1:30" x14ac:dyDescent="0.35">
      <c r="A73" s="98" t="s">
        <v>138</v>
      </c>
      <c r="B73" s="3"/>
      <c r="C73" s="3"/>
      <c r="D73" s="3"/>
      <c r="E73" s="3"/>
      <c r="F73" s="3"/>
      <c r="G73" s="3"/>
      <c r="H73" s="3"/>
      <c r="I73" s="3"/>
      <c r="J73" s="93">
        <f>ROUNDUP(J37*(Riga_iedz!$G$8+Riga_iedz!$G$10),0)</f>
        <v>228376</v>
      </c>
      <c r="K73" s="93">
        <f>ROUNDUP(K37*(Riga_iedz!$G$8+Riga_iedz!$G$10),0)</f>
        <v>228805</v>
      </c>
      <c r="L73" s="93">
        <f>ROUNDUP(L37*(Riga_iedz!$G$8+Riga_iedz!$G$10),0)</f>
        <v>229233</v>
      </c>
      <c r="M73" s="169">
        <f>ROUNDUP(M37*(Riga_iedz!$G$8+Riga_iedz!$G$10),0)</f>
        <v>232234</v>
      </c>
      <c r="N73" s="3"/>
      <c r="O73" s="3"/>
      <c r="Q73" s="3" t="s">
        <v>83</v>
      </c>
      <c r="R73" s="3" t="s">
        <v>293</v>
      </c>
      <c r="S73" s="85">
        <f>VLOOKUP($Q73,Iedz_sk!$B$14:$R$123,3,FALSE)*B$63</f>
        <v>38749.000941099046</v>
      </c>
      <c r="T73" s="85">
        <f>VLOOKUP($Q73,Iedz_sk!$B$14:$R$123,4,FALSE)*C$63</f>
        <v>40457.833869812821</v>
      </c>
      <c r="U73" s="85">
        <f>VLOOKUP($Q73,Iedz_sk!$B$14:$R$123,5,FALSE)*D$63</f>
        <v>39451.348092287015</v>
      </c>
      <c r="V73" s="85">
        <f>VLOOKUP($Q73,Iedz_sk!$B$14:$R$123,6,FALSE)*E$63</f>
        <v>41249.771796202142</v>
      </c>
      <c r="W73" s="85">
        <f>VLOOKUP($Q73,Iedz_sk!$B$14:$R$123,7,FALSE)*F$63</f>
        <v>45266.219514952798</v>
      </c>
      <c r="X73" s="85">
        <f>VLOOKUP($Q73,Iedz_sk!$B$14:$R$123,8,FALSE)*G$63</f>
        <v>45317.797974056994</v>
      </c>
      <c r="Y73" s="91">
        <f>VLOOKUP($Q73,Iedz_sk!$B$14:$R$123,9,FALSE)*H$63</f>
        <v>47142.581309637404</v>
      </c>
      <c r="Z73" s="91">
        <f>VLOOKUP($Q73,Iedz_sk!$B$14:$R$123,10,FALSE)*I$63</f>
        <v>45491.897520909981</v>
      </c>
      <c r="AA73" s="91">
        <f>VLOOKUP($Q73,Iedz_sk!$B$14:$R$123,11,FALSE)*J$63</f>
        <v>47474.674717842165</v>
      </c>
      <c r="AB73" s="91">
        <f>VLOOKUP($Q73,Iedz_sk!$B$14:$R$123,16,FALSE)*K$63</f>
        <v>49909.907046775574</v>
      </c>
      <c r="AC73" s="162">
        <f>VLOOKUP($Q73,Iedz_sk!$B$14:$R$123,17,FALSE)*L$63</f>
        <v>51821.17977462869</v>
      </c>
      <c r="AD73" s="163">
        <f>VLOOKUP($Q73,Iedz_sk!$B$14:$Y$123,24,FALSE)*M$63</f>
        <v>62828.566228382428</v>
      </c>
    </row>
    <row r="74" spans="1:30" x14ac:dyDescent="0.35">
      <c r="A74" s="215" t="s">
        <v>409</v>
      </c>
      <c r="B74" s="215"/>
      <c r="C74" s="215"/>
      <c r="D74" s="215"/>
      <c r="E74" s="215"/>
      <c r="F74" s="215"/>
      <c r="G74" s="215"/>
      <c r="H74" s="215"/>
      <c r="I74" s="215"/>
      <c r="J74" s="215"/>
      <c r="K74" s="215"/>
      <c r="L74" s="215"/>
      <c r="M74" s="215"/>
      <c r="N74" s="215"/>
      <c r="O74" s="215"/>
      <c r="Q74" s="3" t="s">
        <v>88</v>
      </c>
      <c r="R74" s="3" t="s">
        <v>293</v>
      </c>
      <c r="S74" s="85">
        <f>VLOOKUP($Q74,Iedz_sk!$B$14:$R$123,3,FALSE)*B$63</f>
        <v>26518.152201382036</v>
      </c>
      <c r="T74" s="85">
        <f>VLOOKUP($Q74,Iedz_sk!$B$14:$R$123,4,FALSE)*C$63</f>
        <v>27512.470109950413</v>
      </c>
      <c r="U74" s="85">
        <f>VLOOKUP($Q74,Iedz_sk!$B$14:$R$123,5,FALSE)*D$63</f>
        <v>26980.318884356144</v>
      </c>
      <c r="V74" s="85">
        <f>VLOOKUP($Q74,Iedz_sk!$B$14:$R$123,6,FALSE)*E$63</f>
        <v>28650.980595621044</v>
      </c>
      <c r="W74" s="85">
        <f>VLOOKUP($Q74,Iedz_sk!$B$14:$R$123,7,FALSE)*F$63</f>
        <v>30861.78909209113</v>
      </c>
      <c r="X74" s="85">
        <f>VLOOKUP($Q74,Iedz_sk!$B$14:$R$123,8,FALSE)*G$63</f>
        <v>30719.944926868928</v>
      </c>
      <c r="Y74" s="91">
        <f>VLOOKUP($Q74,Iedz_sk!$B$14:$R$123,9,FALSE)*H$63</f>
        <v>31884.275932134868</v>
      </c>
      <c r="Z74" s="91">
        <f>VLOOKUP($Q74,Iedz_sk!$B$14:$R$123,10,FALSE)*I$63</f>
        <v>30854.749285796821</v>
      </c>
      <c r="AA74" s="91">
        <f>VLOOKUP($Q74,Iedz_sk!$B$14:$R$123,11,FALSE)*J$63</f>
        <v>32480.150816041358</v>
      </c>
      <c r="AB74" s="91">
        <f>VLOOKUP($Q74,Iedz_sk!$B$14:$R$123,16,FALSE)*K$63</f>
        <v>34120.823880786586</v>
      </c>
      <c r="AC74" s="162">
        <f>VLOOKUP($Q74,Iedz_sk!$B$14:$R$123,17,FALSE)*L$63</f>
        <v>35400.119879509999</v>
      </c>
      <c r="AD74" s="163">
        <f>VLOOKUP($Q74,Iedz_sk!$B$14:$Y$123,24,FALSE)*M$63</f>
        <v>42654.117744016941</v>
      </c>
    </row>
    <row r="75" spans="1:30" x14ac:dyDescent="0.35">
      <c r="A75" s="98" t="s">
        <v>135</v>
      </c>
      <c r="B75" s="3"/>
      <c r="C75" s="3"/>
      <c r="D75" s="3"/>
      <c r="E75" s="3"/>
      <c r="F75" s="3"/>
      <c r="G75" s="3"/>
      <c r="H75" s="3"/>
      <c r="I75" s="3"/>
      <c r="J75" s="91">
        <f t="shared" ref="J75:L78" si="40">J70*J$52</f>
        <v>5228143.5548050608</v>
      </c>
      <c r="K75" s="91">
        <f t="shared" si="40"/>
        <v>5494772.0032940069</v>
      </c>
      <c r="L75" s="91">
        <f t="shared" si="40"/>
        <v>5703575.4772889027</v>
      </c>
      <c r="M75" s="163">
        <f t="shared" ref="M75" si="41">M70*M$52</f>
        <v>6901336.9099097596</v>
      </c>
      <c r="N75" s="3"/>
      <c r="O75" s="3"/>
      <c r="Q75" s="3" t="s">
        <v>90</v>
      </c>
      <c r="R75" s="3" t="s">
        <v>293</v>
      </c>
      <c r="S75" s="85">
        <f>VLOOKUP($Q75,Iedz_sk!$B$14:$R$123,3,FALSE)*B$63</f>
        <v>11650.995932872656</v>
      </c>
      <c r="T75" s="85">
        <f>VLOOKUP($Q75,Iedz_sk!$B$14:$R$123,4,FALSE)*C$63</f>
        <v>12223.795470819308</v>
      </c>
      <c r="U75" s="85">
        <f>VLOOKUP($Q75,Iedz_sk!$B$14:$R$123,5,FALSE)*D$63</f>
        <v>11938.382744038609</v>
      </c>
      <c r="V75" s="85">
        <f>VLOOKUP($Q75,Iedz_sk!$B$14:$R$123,6,FALSE)*E$63</f>
        <v>12606.43146207326</v>
      </c>
      <c r="W75" s="85">
        <f>VLOOKUP($Q75,Iedz_sk!$B$14:$R$123,7,FALSE)*F$63</f>
        <v>13793.641853694387</v>
      </c>
      <c r="X75" s="85">
        <f>VLOOKUP($Q75,Iedz_sk!$B$14:$R$123,8,FALSE)*G$63</f>
        <v>13395.881853565184</v>
      </c>
      <c r="Y75" s="91">
        <f>VLOOKUP($Q75,Iedz_sk!$B$14:$R$123,9,FALSE)*H$63</f>
        <v>13751.082529237039</v>
      </c>
      <c r="Z75" s="91">
        <f>VLOOKUP($Q75,Iedz_sk!$B$14:$R$123,10,FALSE)*I$63</f>
        <v>13496.707851150355</v>
      </c>
      <c r="AA75" s="91">
        <f>VLOOKUP($Q75,Iedz_sk!$B$14:$R$123,11,FALSE)*J$63</f>
        <v>14419.653975853169</v>
      </c>
      <c r="AB75" s="91">
        <f>VLOOKUP($Q75,Iedz_sk!$B$14:$R$123,16,FALSE)*K$63</f>
        <v>14999.629007689537</v>
      </c>
      <c r="AC75" s="162">
        <f>VLOOKUP($Q75,Iedz_sk!$B$14:$R$123,17,FALSE)*L$63</f>
        <v>15402.195452781296</v>
      </c>
      <c r="AD75" s="163">
        <f>VLOOKUP($Q75,Iedz_sk!$B$14:$Y$123,24,FALSE)*M$63</f>
        <v>16980.286364361389</v>
      </c>
    </row>
    <row r="76" spans="1:30" x14ac:dyDescent="0.35">
      <c r="A76" s="98" t="s">
        <v>136</v>
      </c>
      <c r="B76" s="3"/>
      <c r="C76" s="3"/>
      <c r="D76" s="3"/>
      <c r="E76" s="3"/>
      <c r="F76" s="3"/>
      <c r="G76" s="3"/>
      <c r="H76" s="3"/>
      <c r="I76" s="3"/>
      <c r="J76" s="91">
        <f t="shared" si="40"/>
        <v>3191667.2073038877</v>
      </c>
      <c r="K76" s="91">
        <f t="shared" si="40"/>
        <v>3354449.524566215</v>
      </c>
      <c r="L76" s="91">
        <f t="shared" si="40"/>
        <v>3481900.8850864135</v>
      </c>
      <c r="M76" s="163">
        <f t="shared" ref="M76" si="42">M71*M$52</f>
        <v>4213109.775342905</v>
      </c>
      <c r="N76" s="3"/>
      <c r="O76" s="3"/>
      <c r="Q76" s="3" t="s">
        <v>97</v>
      </c>
      <c r="R76" s="3" t="s">
        <v>293</v>
      </c>
      <c r="S76" s="85">
        <f>VLOOKUP($Q76,Iedz_sk!$B$14:$R$123,3,FALSE)*B$63</f>
        <v>167948.29727541955</v>
      </c>
      <c r="T76" s="85">
        <f>VLOOKUP($Q76,Iedz_sk!$B$14:$R$123,4,FALSE)*C$63</f>
        <v>174991.02645368097</v>
      </c>
      <c r="U76" s="85">
        <f>VLOOKUP($Q76,Iedz_sk!$B$14:$R$123,5,FALSE)*D$63</f>
        <v>171064.73834363947</v>
      </c>
      <c r="V76" s="85">
        <f>VLOOKUP($Q76,Iedz_sk!$B$14:$R$123,6,FALSE)*E$63</f>
        <v>180776.22716613056</v>
      </c>
      <c r="W76" s="85">
        <f>VLOOKUP($Q76,Iedz_sk!$B$14:$R$123,7,FALSE)*F$63</f>
        <v>195155.43102351745</v>
      </c>
      <c r="X76" s="85">
        <f>VLOOKUP($Q76,Iedz_sk!$B$14:$R$123,8,FALSE)*G$63</f>
        <v>195294.18915516164</v>
      </c>
      <c r="Y76" s="91">
        <f>VLOOKUP($Q76,Iedz_sk!$B$14:$R$123,9,FALSE)*H$63</f>
        <v>204740.40740080536</v>
      </c>
      <c r="Z76" s="91">
        <f>VLOOKUP($Q76,Iedz_sk!$B$14:$R$123,10,FALSE)*I$63</f>
        <v>195563.07623576344</v>
      </c>
      <c r="AA76" s="91">
        <f>VLOOKUP($Q76,Iedz_sk!$B$14:$R$123,11,FALSE)*J$63</f>
        <v>205401.02454108986</v>
      </c>
      <c r="AB76" s="91">
        <f>VLOOKUP($Q76,Iedz_sk!$B$14:$R$123,16,FALSE)*K$63</f>
        <v>215264.6689305875</v>
      </c>
      <c r="AC76" s="162">
        <f>VLOOKUP($Q76,Iedz_sk!$B$14:$R$123,17,FALSE)*L$63</f>
        <v>222784.46540215815</v>
      </c>
      <c r="AD76" s="163">
        <f>VLOOKUP($Q76,Iedz_sk!$B$14:$Y$123,24,FALSE)*M$63</f>
        <v>263051.30402429949</v>
      </c>
    </row>
    <row r="77" spans="1:30" x14ac:dyDescent="0.35">
      <c r="A77" s="98" t="s">
        <v>137</v>
      </c>
      <c r="B77" s="3"/>
      <c r="C77" s="3"/>
      <c r="D77" s="3"/>
      <c r="E77" s="3"/>
      <c r="F77" s="3"/>
      <c r="G77" s="3"/>
      <c r="H77" s="3"/>
      <c r="I77" s="3"/>
      <c r="J77" s="91">
        <f t="shared" si="40"/>
        <v>2562677.2004194059</v>
      </c>
      <c r="K77" s="91">
        <f t="shared" si="40"/>
        <v>2693367.1317567378</v>
      </c>
      <c r="L77" s="91">
        <f t="shared" si="40"/>
        <v>2795712.783190961</v>
      </c>
      <c r="M77" s="163">
        <f t="shared" ref="M77" si="43">M72*M$52</f>
        <v>3382808.5383410593</v>
      </c>
      <c r="N77" s="3"/>
      <c r="O77" s="3"/>
      <c r="Q77" s="3" t="s">
        <v>102</v>
      </c>
      <c r="R77" s="3" t="s">
        <v>293</v>
      </c>
      <c r="S77" s="85">
        <f>VLOOKUP($Q77,Iedz_sk!$B$14:$R$123,3,FALSE)*B$63</f>
        <v>35384.506166502142</v>
      </c>
      <c r="T77" s="85">
        <f>VLOOKUP($Q77,Iedz_sk!$B$14:$R$123,4,FALSE)*C$63</f>
        <v>36735.684576828098</v>
      </c>
      <c r="U77" s="85">
        <f>VLOOKUP($Q77,Iedz_sk!$B$14:$R$123,5,FALSE)*D$63</f>
        <v>36092.124393339807</v>
      </c>
      <c r="V77" s="85">
        <f>VLOOKUP($Q77,Iedz_sk!$B$14:$R$123,6,FALSE)*E$63</f>
        <v>37605.367064439146</v>
      </c>
      <c r="W77" s="85">
        <f>VLOOKUP($Q77,Iedz_sk!$B$14:$R$123,7,FALSE)*F$63</f>
        <v>40736.204293628813</v>
      </c>
      <c r="X77" s="85">
        <f>VLOOKUP($Q77,Iedz_sk!$B$14:$R$123,8,FALSE)*G$63</f>
        <v>41346.067073390077</v>
      </c>
      <c r="Y77" s="91">
        <f>VLOOKUP($Q77,Iedz_sk!$B$14:$R$123,9,FALSE)*H$63</f>
        <v>43365.220344231289</v>
      </c>
      <c r="Z77" s="91">
        <f>VLOOKUP($Q77,Iedz_sk!$B$14:$R$123,10,FALSE)*I$63</f>
        <v>41235.450733521247</v>
      </c>
      <c r="AA77" s="91">
        <f>VLOOKUP($Q77,Iedz_sk!$B$14:$R$123,11,FALSE)*J$63</f>
        <v>43364.354747316575</v>
      </c>
      <c r="AB77" s="91">
        <f>VLOOKUP($Q77,Iedz_sk!$B$14:$R$123,16,FALSE)*K$63</f>
        <v>45573.035501831844</v>
      </c>
      <c r="AC77" s="162">
        <f>VLOOKUP($Q77,Iedz_sk!$B$14:$R$123,17,FALSE)*L$63</f>
        <v>47312.162668114252</v>
      </c>
      <c r="AD77" s="163">
        <f>VLOOKUP($Q77,Iedz_sk!$B$14:$Y$123,24,FALSE)*M$63</f>
        <v>57253.849320828114</v>
      </c>
    </row>
    <row r="78" spans="1:30" x14ac:dyDescent="0.35">
      <c r="A78" s="98" t="s">
        <v>138</v>
      </c>
      <c r="B78" s="3"/>
      <c r="C78" s="3"/>
      <c r="D78" s="3"/>
      <c r="E78" s="3"/>
      <c r="F78" s="3"/>
      <c r="G78" s="3"/>
      <c r="H78" s="3"/>
      <c r="I78" s="3"/>
      <c r="J78" s="91">
        <f t="shared" si="40"/>
        <v>6493658.5964581342</v>
      </c>
      <c r="K78" s="91">
        <f t="shared" si="40"/>
        <v>6824841.2618676396</v>
      </c>
      <c r="L78" s="91">
        <f t="shared" si="40"/>
        <v>7084172.0933975969</v>
      </c>
      <c r="M78" s="163">
        <f t="shared" ref="M78" si="44">M73*M$52</f>
        <v>8571868.3029067162</v>
      </c>
      <c r="N78" s="3"/>
      <c r="O78" s="3"/>
      <c r="Q78" s="3" t="s">
        <v>106</v>
      </c>
      <c r="R78" s="3" t="s">
        <v>293</v>
      </c>
      <c r="S78" s="85">
        <f>VLOOKUP($Q78,Iedz_sk!$B$14:$R$123,3,FALSE)*B$63</f>
        <v>204485.76658111223</v>
      </c>
      <c r="T78" s="85">
        <f>VLOOKUP($Q78,Iedz_sk!$B$14:$R$123,4,FALSE)*C$63</f>
        <v>212519.72172440792</v>
      </c>
      <c r="U78" s="85">
        <f>VLOOKUP($Q78,Iedz_sk!$B$14:$R$123,5,FALSE)*D$63</f>
        <v>209131.20562980662</v>
      </c>
      <c r="V78" s="85">
        <f>VLOOKUP($Q78,Iedz_sk!$B$14:$R$123,6,FALSE)*E$63</f>
        <v>221598.1443187714</v>
      </c>
      <c r="W78" s="85">
        <f>VLOOKUP($Q78,Iedz_sk!$B$14:$R$123,7,FALSE)*F$63</f>
        <v>241134.23720249874</v>
      </c>
      <c r="X78" s="85">
        <f>VLOOKUP($Q78,Iedz_sk!$B$14:$R$123,8,FALSE)*G$63</f>
        <v>244496.61866802882</v>
      </c>
      <c r="Y78" s="91">
        <f>VLOOKUP($Q78,Iedz_sk!$B$14:$R$123,9,FALSE)*H$63</f>
        <v>257995.61470618614</v>
      </c>
      <c r="Z78" s="91">
        <f>VLOOKUP($Q78,Iedz_sk!$B$14:$R$123,10,FALSE)*I$63</f>
        <v>248642.94324052043</v>
      </c>
      <c r="AA78" s="91">
        <f>VLOOKUP($Q78,Iedz_sk!$B$14:$R$123,11,FALSE)*J$63</f>
        <v>262437.70236052771</v>
      </c>
      <c r="AB78" s="91">
        <f>VLOOKUP($Q78,Iedz_sk!$B$14:$R$123,16,FALSE)*K$63</f>
        <v>275786.07018307643</v>
      </c>
      <c r="AC78" s="162">
        <f>VLOOKUP($Q78,Iedz_sk!$B$14:$R$123,17,FALSE)*L$63</f>
        <v>286225.03541280481</v>
      </c>
      <c r="AD78" s="163">
        <f>VLOOKUP($Q78,Iedz_sk!$B$14:$Y$123,24,FALSE)*M$63</f>
        <v>345963.91792233026</v>
      </c>
    </row>
    <row r="79" spans="1:30" x14ac:dyDescent="0.35">
      <c r="A79" s="232" t="s">
        <v>410</v>
      </c>
      <c r="B79" s="232"/>
      <c r="C79" s="232"/>
      <c r="D79" s="232"/>
      <c r="E79" s="232"/>
      <c r="F79" s="232"/>
      <c r="G79" s="232"/>
      <c r="H79" s="232"/>
      <c r="I79" s="232"/>
      <c r="J79" s="94">
        <f>SUM(J75:J78)</f>
        <v>17476146.558986489</v>
      </c>
      <c r="K79" s="94">
        <f t="shared" ref="K79:L79" si="45">SUM(K75:K78)</f>
        <v>18367429.921484601</v>
      </c>
      <c r="L79" s="94">
        <f t="shared" si="45"/>
        <v>19065361.238963872</v>
      </c>
      <c r="M79" s="94">
        <f t="shared" ref="M79" si="46">SUM(M75:M78)</f>
        <v>23069123.526500441</v>
      </c>
      <c r="N79" s="3"/>
      <c r="O79" s="3"/>
      <c r="Q79" s="3" t="s">
        <v>109</v>
      </c>
      <c r="R79" s="3" t="s">
        <v>293</v>
      </c>
      <c r="S79" s="85">
        <f>VLOOKUP($Q79,Iedz_sk!$B$14:$R$123,3,FALSE)*B$63</f>
        <v>17415.811628825271</v>
      </c>
      <c r="T79" s="85">
        <f>VLOOKUP($Q79,Iedz_sk!$B$14:$R$123,4,FALSE)*C$63</f>
        <v>18003.486023649712</v>
      </c>
      <c r="U79" s="85">
        <f>VLOOKUP($Q79,Iedz_sk!$B$14:$R$123,5,FALSE)*D$63</f>
        <v>17534.721591333328</v>
      </c>
      <c r="V79" s="85">
        <f>VLOOKUP($Q79,Iedz_sk!$B$14:$R$123,6,FALSE)*E$63</f>
        <v>18558.195164470271</v>
      </c>
      <c r="W79" s="85">
        <f>VLOOKUP($Q79,Iedz_sk!$B$14:$R$123,7,FALSE)*F$63</f>
        <v>20334.169448527333</v>
      </c>
      <c r="X79" s="85">
        <f>VLOOKUP($Q79,Iedz_sk!$B$14:$R$123,8,FALSE)*G$63</f>
        <v>20355.120865917968</v>
      </c>
      <c r="Y79" s="91">
        <f>VLOOKUP($Q79,Iedz_sk!$B$14:$R$123,9,FALSE)*H$63</f>
        <v>21259.285236337371</v>
      </c>
      <c r="Z79" s="91">
        <f>VLOOKUP($Q79,Iedz_sk!$B$14:$R$123,10,FALSE)*I$63</f>
        <v>20438.12845590034</v>
      </c>
      <c r="AA79" s="91">
        <f>VLOOKUP($Q79,Iedz_sk!$B$14:$R$123,11,FALSE)*J$63</f>
        <v>21231.862598332642</v>
      </c>
      <c r="AB79" s="91">
        <f>VLOOKUP($Q79,Iedz_sk!$B$14:$R$123,16,FALSE)*K$63</f>
        <v>22361.032717546739</v>
      </c>
      <c r="AC79" s="162">
        <f>VLOOKUP($Q79,Iedz_sk!$B$14:$R$123,17,FALSE)*L$63</f>
        <v>23249.619455465079</v>
      </c>
      <c r="AD79" s="163">
        <f>VLOOKUP($Q79,Iedz_sk!$B$14:$Y$123,24,FALSE)*M$63</f>
        <v>28581.724253055509</v>
      </c>
    </row>
    <row r="80" spans="1:30" x14ac:dyDescent="0.35">
      <c r="Q80" s="3" t="s">
        <v>9</v>
      </c>
      <c r="R80" s="3" t="s">
        <v>293</v>
      </c>
      <c r="S80" s="85">
        <f>VLOOKUP($Q80,$A$20:$L$28,2,FALSE)</f>
        <v>519053</v>
      </c>
      <c r="T80" s="85">
        <f>VLOOKUP($Q80,$A$20:$L$28,3,FALSE)</f>
        <v>481685</v>
      </c>
      <c r="U80" s="85">
        <f>VLOOKUP($Q80,$A$20:$L$28,4,FALSE)</f>
        <v>503259</v>
      </c>
      <c r="V80" s="85">
        <f>VLOOKUP($Q80,$A$20:$L$28,5,FALSE)</f>
        <v>473718</v>
      </c>
      <c r="W80" s="85">
        <f>VLOOKUP($Q80,$A$20:$L$28,6,FALSE)</f>
        <v>483367</v>
      </c>
      <c r="X80" s="85">
        <f>VLOOKUP($Q80,$A$20:$L$28,7,FALSE)</f>
        <v>470141</v>
      </c>
      <c r="Y80" s="91">
        <f>VLOOKUP($Q80,$A$20:$L$28,8,FALSE)</f>
        <v>494228.40899072483</v>
      </c>
      <c r="Z80" s="91">
        <f>VLOOKUP($Q80,$A$20:$L$28,9,FALSE)</f>
        <v>475904.87066054653</v>
      </c>
      <c r="AA80" s="91">
        <f>VLOOKUP($Q80,$A$20:$L$28,10,FALSE)</f>
        <v>501127.82880555547</v>
      </c>
      <c r="AB80" s="91">
        <f>VLOOKUP($Q80,$A$20:$L$28,11,FALSE)</f>
        <v>526685.34807463875</v>
      </c>
      <c r="AC80" s="162">
        <f>VLOOKUP($Q80,$A$20:$L$28,12,FALSE)</f>
        <v>546699.391301475</v>
      </c>
      <c r="AD80" s="163">
        <f>VLOOKUP($Q80,$A$20:$M$28,13,FALSE)</f>
        <v>661506.26347478468</v>
      </c>
    </row>
    <row r="81" spans="17:30" x14ac:dyDescent="0.35">
      <c r="Q81" s="3" t="s">
        <v>115</v>
      </c>
      <c r="R81" s="3" t="s">
        <v>293</v>
      </c>
      <c r="S81" s="85">
        <f>VLOOKUP($Q81,Iedz_sk!$B$14:$R$123,3,FALSE)*B$63</f>
        <v>81503.031734123069</v>
      </c>
      <c r="T81" s="85">
        <f>VLOOKUP($Q81,Iedz_sk!$B$14:$R$123,4,FALSE)*C$63</f>
        <v>84723.547918437267</v>
      </c>
      <c r="U81" s="85">
        <f>VLOOKUP($Q81,Iedz_sk!$B$14:$R$123,5,FALSE)*D$63</f>
        <v>83071.542508637489</v>
      </c>
      <c r="V81" s="85">
        <f>VLOOKUP($Q81,Iedz_sk!$B$14:$R$123,6,FALSE)*E$63</f>
        <v>87480.994085296261</v>
      </c>
      <c r="W81" s="85">
        <f>VLOOKUP($Q81,Iedz_sk!$B$14:$R$123,7,FALSE)*F$63</f>
        <v>95452.680281530891</v>
      </c>
      <c r="X81" s="85">
        <f>VLOOKUP($Q81,Iedz_sk!$B$14:$R$123,8,FALSE)*G$63</f>
        <v>96340.604149729857</v>
      </c>
      <c r="Y81" s="91">
        <f>VLOOKUP($Q81,Iedz_sk!$B$14:$R$123,9,FALSE)*H$63</f>
        <v>101644.50381049706</v>
      </c>
      <c r="Z81" s="91">
        <f>VLOOKUP($Q81,Iedz_sk!$B$14:$R$123,10,FALSE)*I$63</f>
        <v>98203.59085840339</v>
      </c>
      <c r="AA81" s="91">
        <f>VLOOKUP($Q81,Iedz_sk!$B$14:$R$123,11,FALSE)*J$63</f>
        <v>103256.21986562765</v>
      </c>
      <c r="AB81" s="91">
        <f>VLOOKUP($Q81,Iedz_sk!$B$14:$R$123,16,FALSE)*K$63</f>
        <v>108780.63142282021</v>
      </c>
      <c r="AC81" s="162">
        <f>VLOOKUP($Q81,Iedz_sk!$B$14:$R$123,17,FALSE)*L$63</f>
        <v>113191.50395031321</v>
      </c>
      <c r="AD81" s="163">
        <f>VLOOKUP($Q81,Iedz_sk!$B$14:$Y$123,24,FALSE)*M$63</f>
        <v>139699.39234282059</v>
      </c>
    </row>
    <row r="82" spans="17:30" x14ac:dyDescent="0.35">
      <c r="Q82" s="3" t="s">
        <v>11</v>
      </c>
      <c r="R82" s="3" t="s">
        <v>295</v>
      </c>
      <c r="S82" s="85">
        <f>VLOOKUP($Q82,Iedz_sk!$B$14:$R$123,3,FALSE)*B$64</f>
        <v>53897.88614429735</v>
      </c>
      <c r="T82" s="85">
        <f>VLOOKUP($Q82,Iedz_sk!$B$14:$R$123,4,FALSE)*C$64</f>
        <v>58235.416340991273</v>
      </c>
      <c r="U82" s="85">
        <f>VLOOKUP($Q82,Iedz_sk!$B$14:$R$123,5,FALSE)*D$64</f>
        <v>59990.33670678168</v>
      </c>
      <c r="V82" s="85">
        <f>VLOOKUP($Q82,Iedz_sk!$B$14:$R$123,6,FALSE)*E$64</f>
        <v>61113.327370842293</v>
      </c>
      <c r="W82" s="85">
        <f>VLOOKUP($Q82,Iedz_sk!$B$14:$R$123,7,FALSE)*F$64</f>
        <v>62358.789212988442</v>
      </c>
      <c r="X82" s="85">
        <f>VLOOKUP($Q82,Iedz_sk!$B$14:$R$123,8,FALSE)*G$64</f>
        <v>63559.085921083351</v>
      </c>
      <c r="Y82" s="91">
        <f>VLOOKUP($Q82,Iedz_sk!$B$14:$R$123,9,FALSE)*H$64</f>
        <v>66869.142715323731</v>
      </c>
      <c r="Z82" s="91">
        <f>VLOOKUP($Q82,Iedz_sk!$B$14:$R$123,10,FALSE)*I$64</f>
        <v>64268.504158430893</v>
      </c>
      <c r="AA82" s="91">
        <f>VLOOKUP($Q82,Iedz_sk!$B$14:$R$123,11,FALSE)*J$64</f>
        <v>68418.691922067432</v>
      </c>
      <c r="AB82" s="91">
        <f>VLOOKUP($Q82,Iedz_sk!$B$14:$R$123,16,FALSE)*K$64</f>
        <v>71784.120049151752</v>
      </c>
      <c r="AC82" s="162">
        <f>VLOOKUP($Q82,Iedz_sk!$B$14:$R$123,17,FALSE)*L$64</f>
        <v>74379.467362873969</v>
      </c>
      <c r="AD82" s="163">
        <f>VLOOKUP($Q82,Iedz_sk!$B$14:$Y$123,24,FALSE)*M$64</f>
        <v>88735.363034668655</v>
      </c>
    </row>
    <row r="83" spans="17:30" x14ac:dyDescent="0.35">
      <c r="Q83" s="3" t="s">
        <v>13</v>
      </c>
      <c r="R83" s="3" t="s">
        <v>295</v>
      </c>
      <c r="S83" s="85">
        <f>VLOOKUP($Q83,Iedz_sk!$B$14:$R$123,3,FALSE)*B$64</f>
        <v>17879.557558688815</v>
      </c>
      <c r="T83" s="85">
        <f>VLOOKUP($Q83,Iedz_sk!$B$14:$R$123,4,FALSE)*C$64</f>
        <v>19506.695557422354</v>
      </c>
      <c r="U83" s="85">
        <f>VLOOKUP($Q83,Iedz_sk!$B$14:$R$123,5,FALSE)*D$64</f>
        <v>20053.346876524382</v>
      </c>
      <c r="V83" s="85">
        <f>VLOOKUP($Q83,Iedz_sk!$B$14:$R$123,6,FALSE)*E$64</f>
        <v>20203.7152294222</v>
      </c>
      <c r="W83" s="85">
        <f>VLOOKUP($Q83,Iedz_sk!$B$14:$R$123,7,FALSE)*F$64</f>
        <v>21080.835839807503</v>
      </c>
      <c r="X83" s="85">
        <f>VLOOKUP($Q83,Iedz_sk!$B$14:$R$123,8,FALSE)*G$64</f>
        <v>19990.23157444159</v>
      </c>
      <c r="Y83" s="91">
        <f>VLOOKUP($Q83,Iedz_sk!$B$14:$R$123,9,FALSE)*H$64</f>
        <v>20736.4240476091</v>
      </c>
      <c r="Z83" s="91">
        <f>VLOOKUP($Q83,Iedz_sk!$B$14:$R$123,10,FALSE)*I$64</f>
        <v>20637.704651223881</v>
      </c>
      <c r="AA83" s="91">
        <f>VLOOKUP($Q83,Iedz_sk!$B$14:$R$123,11,FALSE)*J$64</f>
        <v>21728.076541547172</v>
      </c>
      <c r="AB83" s="91">
        <f>VLOOKUP($Q83,Iedz_sk!$B$14:$R$123,16,FALSE)*K$64</f>
        <v>22593.807885405568</v>
      </c>
      <c r="AC83" s="162">
        <f>VLOOKUP($Q83,Iedz_sk!$B$14:$R$123,17,FALSE)*L$64</f>
        <v>23192.459094905713</v>
      </c>
      <c r="AD83" s="163">
        <f>VLOOKUP($Q83,Iedz_sk!$B$14:$Y$123,24,FALSE)*M$64</f>
        <v>25526.43047881142</v>
      </c>
    </row>
    <row r="84" spans="17:30" x14ac:dyDescent="0.35">
      <c r="Q84" s="3" t="s">
        <v>19</v>
      </c>
      <c r="R84" s="3" t="s">
        <v>295</v>
      </c>
      <c r="S84" s="85">
        <f>VLOOKUP($Q84,Iedz_sk!$B$14:$R$123,3,FALSE)*B$64</f>
        <v>43776.217384804891</v>
      </c>
      <c r="T84" s="85">
        <f>VLOOKUP($Q84,Iedz_sk!$B$14:$R$123,4,FALSE)*C$64</f>
        <v>46624.93354395705</v>
      </c>
      <c r="U84" s="85">
        <f>VLOOKUP($Q84,Iedz_sk!$B$14:$R$123,5,FALSE)*D$64</f>
        <v>47814.080246494312</v>
      </c>
      <c r="V84" s="85">
        <f>VLOOKUP($Q84,Iedz_sk!$B$14:$R$123,6,FALSE)*E$64</f>
        <v>48071.159614673496</v>
      </c>
      <c r="W84" s="85">
        <f>VLOOKUP($Q84,Iedz_sk!$B$14:$R$123,7,FALSE)*F$64</f>
        <v>48438.337599672341</v>
      </c>
      <c r="X84" s="85">
        <f>VLOOKUP($Q84,Iedz_sk!$B$14:$R$123,8,FALSE)*G$64</f>
        <v>49166.431901315278</v>
      </c>
      <c r="Y84" s="91">
        <f>VLOOKUP($Q84,Iedz_sk!$B$14:$R$123,9,FALSE)*H$64</f>
        <v>51200.327915304486</v>
      </c>
      <c r="Z84" s="91">
        <f>VLOOKUP($Q84,Iedz_sk!$B$14:$R$123,10,FALSE)*I$64</f>
        <v>49375.067455548437</v>
      </c>
      <c r="AA84" s="91">
        <f>VLOOKUP($Q84,Iedz_sk!$B$14:$R$123,11,FALSE)*J$64</f>
        <v>51418.562907628322</v>
      </c>
      <c r="AB84" s="91">
        <f>VLOOKUP($Q84,Iedz_sk!$B$14:$R$123,16,FALSE)*K$64</f>
        <v>53594.189971918451</v>
      </c>
      <c r="AC84" s="162">
        <f>VLOOKUP($Q84,Iedz_sk!$B$14:$R$123,17,FALSE)*L$64</f>
        <v>55161.48362323633</v>
      </c>
      <c r="AD84" s="163">
        <f>VLOOKUP($Q84,Iedz_sk!$B$14:$Y$123,24,FALSE)*M$64</f>
        <v>62113.434246787256</v>
      </c>
    </row>
    <row r="85" spans="17:30" x14ac:dyDescent="0.35">
      <c r="Q85" s="3" t="s">
        <v>25</v>
      </c>
      <c r="R85" s="3" t="s">
        <v>295</v>
      </c>
      <c r="S85" s="85">
        <f>VLOOKUP($Q85,Iedz_sk!$B$14:$R$123,3,FALSE)*B$64</f>
        <v>153960.45663067009</v>
      </c>
      <c r="T85" s="85">
        <f>VLOOKUP($Q85,Iedz_sk!$B$14:$R$123,4,FALSE)*C$64</f>
        <v>166837.14772270719</v>
      </c>
      <c r="U85" s="85">
        <f>VLOOKUP($Q85,Iedz_sk!$B$14:$R$123,5,FALSE)*D$64</f>
        <v>171881.78980061872</v>
      </c>
      <c r="V85" s="85">
        <f>VLOOKUP($Q85,Iedz_sk!$B$14:$R$123,6,FALSE)*E$64</f>
        <v>174162.42991357105</v>
      </c>
      <c r="W85" s="85">
        <f>VLOOKUP($Q85,Iedz_sk!$B$14:$R$123,7,FALSE)*F$64</f>
        <v>176645.47036387605</v>
      </c>
      <c r="X85" s="85">
        <f>VLOOKUP($Q85,Iedz_sk!$B$14:$R$123,8,FALSE)*G$64</f>
        <v>180287.34076581834</v>
      </c>
      <c r="Y85" s="91">
        <f>VLOOKUP($Q85,Iedz_sk!$B$14:$R$123,9,FALSE)*H$64</f>
        <v>189590.16272099747</v>
      </c>
      <c r="Z85" s="91">
        <f>VLOOKUP($Q85,Iedz_sk!$B$14:$R$123,10,FALSE)*I$64</f>
        <v>180627.9848860612</v>
      </c>
      <c r="AA85" s="91">
        <f>VLOOKUP($Q85,Iedz_sk!$B$14:$R$123,11,FALSE)*J$64</f>
        <v>189962.78701425708</v>
      </c>
      <c r="AB85" s="91">
        <f>VLOOKUP($Q85,Iedz_sk!$B$14:$R$123,16,FALSE)*K$64</f>
        <v>199669.81391545461</v>
      </c>
      <c r="AC85" s="162">
        <f>VLOOKUP($Q85,Iedz_sk!$B$14:$R$123,17,FALSE)*L$64</f>
        <v>207278.99437559093</v>
      </c>
      <c r="AD85" s="163">
        <f>VLOOKUP($Q85,Iedz_sk!$B$14:$Y$123,24,FALSE)*M$64</f>
        <v>251001.10052510691</v>
      </c>
    </row>
    <row r="86" spans="17:30" x14ac:dyDescent="0.35">
      <c r="Q86" s="3" t="s">
        <v>35</v>
      </c>
      <c r="R86" s="3" t="s">
        <v>295</v>
      </c>
      <c r="S86" s="85">
        <f>VLOOKUP($Q86,Iedz_sk!$B$14:$R$123,3,FALSE)*B$64</f>
        <v>133883.75634126217</v>
      </c>
      <c r="T86" s="85">
        <f>VLOOKUP($Q86,Iedz_sk!$B$14:$R$123,4,FALSE)*C$64</f>
        <v>143812.74021451964</v>
      </c>
      <c r="U86" s="85">
        <f>VLOOKUP($Q86,Iedz_sk!$B$14:$R$123,5,FALSE)*D$64</f>
        <v>147628.27083500565</v>
      </c>
      <c r="V86" s="85">
        <f>VLOOKUP($Q86,Iedz_sk!$B$14:$R$123,6,FALSE)*E$64</f>
        <v>149002.39981698871</v>
      </c>
      <c r="W86" s="85">
        <f>VLOOKUP($Q86,Iedz_sk!$B$14:$R$123,7,FALSE)*F$64</f>
        <v>151667.21019825677</v>
      </c>
      <c r="X86" s="85">
        <f>VLOOKUP($Q86,Iedz_sk!$B$14:$R$123,8,FALSE)*G$64</f>
        <v>154543.17472176824</v>
      </c>
      <c r="Y86" s="91">
        <f>VLOOKUP($Q86,Iedz_sk!$B$14:$R$123,9,FALSE)*H$64</f>
        <v>162404.81064895136</v>
      </c>
      <c r="Z86" s="91">
        <f>VLOOKUP($Q86,Iedz_sk!$B$14:$R$123,10,FALSE)*I$64</f>
        <v>155728.14557860629</v>
      </c>
      <c r="AA86" s="91">
        <f>VLOOKUP($Q86,Iedz_sk!$B$14:$R$123,11,FALSE)*J$64</f>
        <v>164018.81502434998</v>
      </c>
      <c r="AB86" s="91">
        <f>VLOOKUP($Q86,Iedz_sk!$B$14:$R$123,16,FALSE)*K$64</f>
        <v>171796.82331590465</v>
      </c>
      <c r="AC86" s="162">
        <f>VLOOKUP($Q86,Iedz_sk!$B$14:$R$123,17,FALSE)*L$64</f>
        <v>177686.95631881291</v>
      </c>
      <c r="AD86" s="163">
        <f>VLOOKUP($Q86,Iedz_sk!$B$14:$Y$123,24,FALSE)*M$64</f>
        <v>208831.01501331659</v>
      </c>
    </row>
    <row r="87" spans="17:30" x14ac:dyDescent="0.35">
      <c r="Q87" s="3" t="s">
        <v>43</v>
      </c>
      <c r="R87" s="3" t="s">
        <v>295</v>
      </c>
      <c r="S87" s="85">
        <f>VLOOKUP($Q87,Iedz_sk!$B$14:$R$123,3,FALSE)*B$64</f>
        <v>54891.537772515818</v>
      </c>
      <c r="T87" s="85">
        <f>VLOOKUP($Q87,Iedz_sk!$B$14:$R$123,4,FALSE)*C$64</f>
        <v>59346.986205972949</v>
      </c>
      <c r="U87" s="85">
        <f>VLOOKUP($Q87,Iedz_sk!$B$14:$R$123,5,FALSE)*D$64</f>
        <v>61538.885002253766</v>
      </c>
      <c r="V87" s="85">
        <f>VLOOKUP($Q87,Iedz_sk!$B$14:$R$123,6,FALSE)*E$64</f>
        <v>62386.976565780649</v>
      </c>
      <c r="W87" s="85">
        <f>VLOOKUP($Q87,Iedz_sk!$B$14:$R$123,7,FALSE)*F$64</f>
        <v>63861.865648718172</v>
      </c>
      <c r="X87" s="85">
        <f>VLOOKUP($Q87,Iedz_sk!$B$14:$R$123,8,FALSE)*G$64</f>
        <v>65857.532570628071</v>
      </c>
      <c r="Y87" s="91">
        <f>VLOOKUP($Q87,Iedz_sk!$B$14:$R$123,9,FALSE)*H$64</f>
        <v>69556.889491960057</v>
      </c>
      <c r="Z87" s="91">
        <f>VLOOKUP($Q87,Iedz_sk!$B$14:$R$123,10,FALSE)*I$64</f>
        <v>67577.266588926024</v>
      </c>
      <c r="AA87" s="91">
        <f>VLOOKUP($Q87,Iedz_sk!$B$14:$R$123,11,FALSE)*J$64</f>
        <v>71781.167239180388</v>
      </c>
      <c r="AB87" s="91">
        <f>VLOOKUP($Q87,Iedz_sk!$B$14:$R$123,16,FALSE)*K$64</f>
        <v>75631.814531654236</v>
      </c>
      <c r="AC87" s="162">
        <f>VLOOKUP($Q87,Iedz_sk!$B$14:$R$123,17,FALSE)*L$64</f>
        <v>78710.009517524421</v>
      </c>
      <c r="AD87" s="163">
        <f>VLOOKUP($Q87,Iedz_sk!$B$14:$Y$123,24,FALSE)*M$64</f>
        <v>97208.976461450933</v>
      </c>
    </row>
    <row r="88" spans="17:30" x14ac:dyDescent="0.35">
      <c r="Q88" s="3" t="s">
        <v>47</v>
      </c>
      <c r="R88" s="3" t="s">
        <v>295</v>
      </c>
      <c r="S88" s="85">
        <f>VLOOKUP($Q88,Iedz_sk!$B$14:$R$123,3,FALSE)*B$64</f>
        <v>35370.294915031278</v>
      </c>
      <c r="T88" s="85">
        <f>VLOOKUP($Q88,Iedz_sk!$B$14:$R$123,4,FALSE)*C$64</f>
        <v>38335.604611807103</v>
      </c>
      <c r="U88" s="85">
        <f>VLOOKUP($Q88,Iedz_sk!$B$14:$R$123,5,FALSE)*D$64</f>
        <v>39442.020055448869</v>
      </c>
      <c r="V88" s="85">
        <f>VLOOKUP($Q88,Iedz_sk!$B$14:$R$123,6,FALSE)*E$64</f>
        <v>39999.862716464122</v>
      </c>
      <c r="W88" s="85">
        <f>VLOOKUP($Q88,Iedz_sk!$B$14:$R$123,7,FALSE)*F$64</f>
        <v>40288.490995891516</v>
      </c>
      <c r="X88" s="85">
        <f>VLOOKUP($Q88,Iedz_sk!$B$14:$R$123,8,FALSE)*G$64</f>
        <v>41059.325861934783</v>
      </c>
      <c r="Y88" s="91">
        <f>VLOOKUP($Q88,Iedz_sk!$B$14:$R$123,9,FALSE)*H$64</f>
        <v>42770.95489755649</v>
      </c>
      <c r="Z88" s="91">
        <f>VLOOKUP($Q88,Iedz_sk!$B$14:$R$123,10,FALSE)*I$64</f>
        <v>41467.686053856683</v>
      </c>
      <c r="AA88" s="91">
        <f>VLOOKUP($Q88,Iedz_sk!$B$14:$R$123,11,FALSE)*J$64</f>
        <v>43003.840413533464</v>
      </c>
      <c r="AB88" s="91">
        <f>VLOOKUP($Q88,Iedz_sk!$B$14:$R$123,16,FALSE)*K$64</f>
        <v>45278.793365183235</v>
      </c>
      <c r="AC88" s="162">
        <f>VLOOKUP($Q88,Iedz_sk!$B$14:$R$123,17,FALSE)*L$64</f>
        <v>47087.428361565835</v>
      </c>
      <c r="AD88" s="163">
        <f>VLOOKUP($Q88,Iedz_sk!$B$14:$Y$123,24,FALSE)*M$64</f>
        <v>57837.031208971894</v>
      </c>
    </row>
    <row r="89" spans="17:30" x14ac:dyDescent="0.35">
      <c r="Q89" s="3" t="s">
        <v>5</v>
      </c>
      <c r="R89" s="3" t="s">
        <v>295</v>
      </c>
      <c r="S89" s="85">
        <f>VLOOKUP($Q89,$A$20:$L$28,2,FALSE)</f>
        <v>506504</v>
      </c>
      <c r="T89" s="85">
        <f>VLOOKUP($Q89,$A$20:$L$28,3,FALSE)</f>
        <v>519381</v>
      </c>
      <c r="U89" s="85">
        <f>VLOOKUP($Q89,$A$20:$L$28,4,FALSE)</f>
        <v>523856</v>
      </c>
      <c r="V89" s="85">
        <f>VLOOKUP($Q89,$A$20:$L$28,5,FALSE)</f>
        <v>550073</v>
      </c>
      <c r="W89" s="85">
        <f>VLOOKUP($Q89,$A$20:$L$28,6,FALSE)</f>
        <v>592572</v>
      </c>
      <c r="X89" s="85">
        <f>VLOOKUP($Q89,$A$20:$L$28,7,FALSE)</f>
        <v>583498</v>
      </c>
      <c r="Y89" s="91">
        <f>VLOOKUP($Q89,$A$20:$L$28,8,FALSE)</f>
        <v>613393.19095605356</v>
      </c>
      <c r="Z89" s="91">
        <f>VLOOKUP($Q89,$A$20:$L$28,9,FALSE)</f>
        <v>590651.61349613755</v>
      </c>
      <c r="AA89" s="91">
        <f>VLOOKUP($Q89,$A$20:$L$28,10,FALSE)</f>
        <v>621956.14901143278</v>
      </c>
      <c r="AB89" s="91">
        <f>VLOOKUP($Q89,$A$20:$L$28,11,FALSE)</f>
        <v>653675.91261101584</v>
      </c>
      <c r="AC89" s="162">
        <f>VLOOKUP($Q89,$A$20:$L$28,12,FALSE)</f>
        <v>678515.59729023441</v>
      </c>
      <c r="AD89" s="163">
        <f>VLOOKUP($Q89,$A$20:$M$28,13,FALSE)</f>
        <v>821003.87272118358</v>
      </c>
    </row>
    <row r="90" spans="17:30" x14ac:dyDescent="0.35">
      <c r="Q90" s="3" t="s">
        <v>50</v>
      </c>
      <c r="R90" s="3" t="s">
        <v>295</v>
      </c>
      <c r="S90" s="85">
        <f>VLOOKUP($Q90,Iedz_sk!$B$14:$R$123,3,FALSE)*B$64</f>
        <v>149942.64787309105</v>
      </c>
      <c r="T90" s="85">
        <f>VLOOKUP($Q90,Iedz_sk!$B$14:$R$123,4,FALSE)*C$64</f>
        <v>161164.07469228239</v>
      </c>
      <c r="U90" s="85">
        <f>VLOOKUP($Q90,Iedz_sk!$B$14:$R$123,5,FALSE)*D$64</f>
        <v>165178.48485035598</v>
      </c>
      <c r="V90" s="85">
        <f>VLOOKUP($Q90,Iedz_sk!$B$14:$R$123,6,FALSE)*E$64</f>
        <v>166374.97483594794</v>
      </c>
      <c r="W90" s="85">
        <f>VLOOKUP($Q90,Iedz_sk!$B$14:$R$123,7,FALSE)*F$64</f>
        <v>169515.2987290576</v>
      </c>
      <c r="X90" s="85">
        <f>VLOOKUP($Q90,Iedz_sk!$B$14:$R$123,8,FALSE)*G$64</f>
        <v>173900.16079072302</v>
      </c>
      <c r="Y90" s="91">
        <f>VLOOKUP($Q90,Iedz_sk!$B$14:$R$123,9,FALSE)*H$64</f>
        <v>183157.87709146223</v>
      </c>
      <c r="Z90" s="91">
        <f>VLOOKUP($Q90,Iedz_sk!$B$14:$R$123,10,FALSE)*I$64</f>
        <v>177751.84514623613</v>
      </c>
      <c r="AA90" s="91">
        <f>VLOOKUP($Q90,Iedz_sk!$B$14:$R$123,11,FALSE)*J$64</f>
        <v>187931.64710188934</v>
      </c>
      <c r="AB90" s="91">
        <f>VLOOKUP($Q90,Iedz_sk!$B$14:$R$123,16,FALSE)*K$64</f>
        <v>197189.78334853359</v>
      </c>
      <c r="AC90" s="162">
        <f>VLOOKUP($Q90,Iedz_sk!$B$14:$R$123,17,FALSE)*L$64</f>
        <v>204324.60228341832</v>
      </c>
      <c r="AD90" s="163">
        <f>VLOOKUP($Q90,Iedz_sk!$B$14:$Y$123,24,FALSE)*M$64</f>
        <v>243794.56947989957</v>
      </c>
    </row>
    <row r="91" spans="17:30" x14ac:dyDescent="0.35">
      <c r="Q91" s="3" t="s">
        <v>3</v>
      </c>
      <c r="R91" s="3" t="s">
        <v>295</v>
      </c>
      <c r="S91" s="85">
        <f>VLOOKUP($Q91,$A$20:$L$28,2,FALSE)</f>
        <v>197716</v>
      </c>
      <c r="T91" s="85">
        <f>VLOOKUP($Q91,$A$20:$L$28,3,FALSE)</f>
        <v>194513</v>
      </c>
      <c r="U91" s="85">
        <f>VLOOKUP($Q91,$A$20:$L$28,4,FALSE)</f>
        <v>206704</v>
      </c>
      <c r="V91" s="85">
        <f>VLOOKUP($Q91,$A$20:$L$28,5,FALSE)</f>
        <v>206575</v>
      </c>
      <c r="W91" s="85">
        <f>VLOOKUP($Q91,$A$20:$L$28,6,FALSE)</f>
        <v>217715</v>
      </c>
      <c r="X91" s="85">
        <f>VLOOKUP($Q91,$A$20:$L$28,7,FALSE)</f>
        <v>234515</v>
      </c>
      <c r="Y91" s="91">
        <f>VLOOKUP($Q91,$A$20:$L$28,8,FALSE)</f>
        <v>246530.24376614639</v>
      </c>
      <c r="Z91" s="91">
        <f>VLOOKUP($Q91,$A$20:$L$28,9,FALSE)</f>
        <v>237390.12496880311</v>
      </c>
      <c r="AA91" s="91">
        <f>VLOOKUP($Q91,$A$20:$L$28,10,FALSE)</f>
        <v>249971.80159214966</v>
      </c>
      <c r="AB91" s="91">
        <f>VLOOKUP($Q91,$A$20:$L$28,11,FALSE)</f>
        <v>262720.36347334925</v>
      </c>
      <c r="AC91" s="162">
        <f>VLOOKUP($Q91,$A$20:$L$28,12,FALSE)</f>
        <v>272703.73728533654</v>
      </c>
      <c r="AD91" s="163">
        <f>VLOOKUP($Q91,$A$20:$M$28,13,FALSE)</f>
        <v>329971.52211525722</v>
      </c>
    </row>
    <row r="92" spans="17:30" x14ac:dyDescent="0.35">
      <c r="Q92" s="3" t="s">
        <v>51</v>
      </c>
      <c r="R92" s="3" t="s">
        <v>295</v>
      </c>
      <c r="S92" s="85">
        <f>VLOOKUP($Q92,Iedz_sk!$B$14:$R$123,3,FALSE)*B$64</f>
        <v>30587.189251246728</v>
      </c>
      <c r="T92" s="85">
        <f>VLOOKUP($Q92,Iedz_sk!$B$14:$R$123,4,FALSE)*C$64</f>
        <v>32940.424047627741</v>
      </c>
      <c r="U92" s="85">
        <f>VLOOKUP($Q92,Iedz_sk!$B$14:$R$123,5,FALSE)*D$64</f>
        <v>33742.796648368952</v>
      </c>
      <c r="V92" s="85">
        <f>VLOOKUP($Q92,Iedz_sk!$B$14:$R$123,6,FALSE)*E$64</f>
        <v>34126.520428948374</v>
      </c>
      <c r="W92" s="85">
        <f>VLOOKUP($Q92,Iedz_sk!$B$14:$R$123,7,FALSE)*F$64</f>
        <v>34351.716732154971</v>
      </c>
      <c r="X92" s="85">
        <f>VLOOKUP($Q92,Iedz_sk!$B$14:$R$123,8,FALSE)*G$64</f>
        <v>34547.06035489143</v>
      </c>
      <c r="Y92" s="91">
        <f>VLOOKUP($Q92,Iedz_sk!$B$14:$R$123,9,FALSE)*H$64</f>
        <v>35722.900656655642</v>
      </c>
      <c r="Z92" s="91">
        <f>VLOOKUP($Q92,Iedz_sk!$B$14:$R$123,10,FALSE)*I$64</f>
        <v>33920.823561056641</v>
      </c>
      <c r="AA92" s="91">
        <f>VLOOKUP($Q92,Iedz_sk!$B$14:$R$123,11,FALSE)*J$64</f>
        <v>35536.414265122708</v>
      </c>
      <c r="AB92" s="91">
        <f>VLOOKUP($Q92,Iedz_sk!$B$14:$R$123,16,FALSE)*K$64</f>
        <v>37191.340744378256</v>
      </c>
      <c r="AC92" s="162">
        <f>VLOOKUP($Q92,Iedz_sk!$B$14:$R$123,17,FALSE)*L$64</f>
        <v>38435.967479275278</v>
      </c>
      <c r="AD92" s="163">
        <f>VLOOKUP($Q92,Iedz_sk!$B$14:$Y$123,24,FALSE)*M$64</f>
        <v>44836.238023020887</v>
      </c>
    </row>
    <row r="93" spans="17:30" x14ac:dyDescent="0.35">
      <c r="Q93" s="3" t="s">
        <v>55</v>
      </c>
      <c r="R93" s="3" t="s">
        <v>295</v>
      </c>
      <c r="S93" s="85">
        <f>VLOOKUP($Q93,Iedz_sk!$B$14:$R$123,3,FALSE)*B$64</f>
        <v>33228.697927504516</v>
      </c>
      <c r="T93" s="85">
        <f>VLOOKUP($Q93,Iedz_sk!$B$14:$R$123,4,FALSE)*C$64</f>
        <v>36153.132072026005</v>
      </c>
      <c r="U93" s="85">
        <f>VLOOKUP($Q93,Iedz_sk!$B$14:$R$123,5,FALSE)*D$64</f>
        <v>37440.92796586622</v>
      </c>
      <c r="V93" s="85">
        <f>VLOOKUP($Q93,Iedz_sk!$B$14:$R$123,6,FALSE)*E$64</f>
        <v>37969.301999962394</v>
      </c>
      <c r="W93" s="85">
        <f>VLOOKUP($Q93,Iedz_sk!$B$14:$R$123,7,FALSE)*F$64</f>
        <v>38513.501235105141</v>
      </c>
      <c r="X93" s="85">
        <f>VLOOKUP($Q93,Iedz_sk!$B$14:$R$123,8,FALSE)*G$64</f>
        <v>39245.585648688611</v>
      </c>
      <c r="Y93" s="91">
        <f>VLOOKUP($Q93,Iedz_sk!$B$14:$R$123,9,FALSE)*H$64</f>
        <v>41714.162821293903</v>
      </c>
      <c r="Z93" s="91">
        <f>VLOOKUP($Q93,Iedz_sk!$B$14:$R$123,10,FALSE)*I$64</f>
        <v>39617.022321545846</v>
      </c>
      <c r="AA93" s="91">
        <f>VLOOKUP($Q93,Iedz_sk!$B$14:$R$123,11,FALSE)*J$64</f>
        <v>41399.410566789207</v>
      </c>
      <c r="AB93" s="91">
        <f>VLOOKUP($Q93,Iedz_sk!$B$14:$R$123,16,FALSE)*K$64</f>
        <v>43664.949944797125</v>
      </c>
      <c r="AC93" s="162">
        <f>VLOOKUP($Q93,Iedz_sk!$B$14:$R$123,17,FALSE)*L$64</f>
        <v>45489.939477850334</v>
      </c>
      <c r="AD93" s="163">
        <f>VLOOKUP($Q93,Iedz_sk!$B$14:$Y$123,24,FALSE)*M$64</f>
        <v>56649.141476245408</v>
      </c>
    </row>
    <row r="94" spans="17:30" x14ac:dyDescent="0.35">
      <c r="Q94" s="3" t="s">
        <v>58</v>
      </c>
      <c r="R94" s="3" t="s">
        <v>295</v>
      </c>
      <c r="S94" s="85">
        <f>VLOOKUP($Q94,Iedz_sk!$B$14:$R$123,3,FALSE)*B$64</f>
        <v>37357.598171468213</v>
      </c>
      <c r="T94" s="85">
        <f>VLOOKUP($Q94,Iedz_sk!$B$14:$R$123,4,FALSE)*C$64</f>
        <v>40511.29928655782</v>
      </c>
      <c r="U94" s="85">
        <f>VLOOKUP($Q94,Iedz_sk!$B$14:$R$123,5,FALSE)*D$64</f>
        <v>41775.448993831465</v>
      </c>
      <c r="V94" s="85">
        <f>VLOOKUP($Q94,Iedz_sk!$B$14:$R$123,6,FALSE)*E$64</f>
        <v>42416.157189147183</v>
      </c>
      <c r="W94" s="85">
        <f>VLOOKUP($Q94,Iedz_sk!$B$14:$R$123,7,FALSE)*F$64</f>
        <v>43407.941086124585</v>
      </c>
      <c r="X94" s="85">
        <f>VLOOKUP($Q94,Iedz_sk!$B$14:$R$123,8,FALSE)*G$64</f>
        <v>43803.389719044288</v>
      </c>
      <c r="Y94" s="91">
        <f>VLOOKUP($Q94,Iedz_sk!$B$14:$R$123,9,FALSE)*H$64</f>
        <v>45733.301190072074</v>
      </c>
      <c r="Z94" s="91">
        <f>VLOOKUP($Q94,Iedz_sk!$B$14:$R$123,10,FALSE)*I$64</f>
        <v>44439.964169386207</v>
      </c>
      <c r="AA94" s="91">
        <f>VLOOKUP($Q94,Iedz_sk!$B$14:$R$123,11,FALSE)*J$64</f>
        <v>46605.273367395566</v>
      </c>
      <c r="AB94" s="91">
        <f>VLOOKUP($Q94,Iedz_sk!$B$14:$R$123,16,FALSE)*K$64</f>
        <v>49135.605607122925</v>
      </c>
      <c r="AC94" s="162">
        <f>VLOOKUP($Q94,Iedz_sk!$B$14:$R$123,17,FALSE)*L$64</f>
        <v>51167.761413947585</v>
      </c>
      <c r="AD94" s="163">
        <f>VLOOKUP($Q94,Iedz_sk!$B$14:$Y$123,24,FALSE)*M$64</f>
        <v>63499.30560163482</v>
      </c>
    </row>
    <row r="95" spans="17:30" x14ac:dyDescent="0.35">
      <c r="Q95" s="3" t="s">
        <v>74</v>
      </c>
      <c r="R95" s="3" t="s">
        <v>295</v>
      </c>
      <c r="S95" s="85">
        <f>VLOOKUP($Q95,Iedz_sk!$B$14:$R$123,3,FALSE)*B$64</f>
        <v>23736.547590858539</v>
      </c>
      <c r="T95" s="85">
        <f>VLOOKUP($Q95,Iedz_sk!$B$14:$R$123,4,FALSE)*C$64</f>
        <v>25484.772514214055</v>
      </c>
      <c r="U95" s="85">
        <f>VLOOKUP($Q95,Iedz_sk!$B$14:$R$123,5,FALSE)*D$64</f>
        <v>26205.114077714865</v>
      </c>
      <c r="V95" s="85">
        <f>VLOOKUP($Q95,Iedz_sk!$B$14:$R$123,6,FALSE)*E$64</f>
        <v>26477.347263918575</v>
      </c>
      <c r="W95" s="85">
        <f>VLOOKUP($Q95,Iedz_sk!$B$14:$R$123,7,FALSE)*F$64</f>
        <v>26488.889749267255</v>
      </c>
      <c r="X95" s="85">
        <f>VLOOKUP($Q95,Iedz_sk!$B$14:$R$123,8,FALSE)*G$64</f>
        <v>26909.02506031598</v>
      </c>
      <c r="Y95" s="91">
        <f>VLOOKUP($Q95,Iedz_sk!$B$14:$R$123,9,FALSE)*H$64</f>
        <v>28092.362594192746</v>
      </c>
      <c r="Z95" s="91">
        <f>VLOOKUP($Q95,Iedz_sk!$B$14:$R$123,10,FALSE)*I$64</f>
        <v>26726.468445839622</v>
      </c>
      <c r="AA95" s="91">
        <f>VLOOKUP($Q95,Iedz_sk!$B$14:$R$123,11,FALSE)*J$64</f>
        <v>27975.111902274795</v>
      </c>
      <c r="AB95" s="91">
        <f>VLOOKUP($Q95,Iedz_sk!$B$14:$R$123,16,FALSE)*K$64</f>
        <v>29368.303147252354</v>
      </c>
      <c r="AC95" s="162">
        <f>VLOOKUP($Q95,Iedz_sk!$B$14:$R$123,17,FALSE)*L$64</f>
        <v>30448.523060697793</v>
      </c>
      <c r="AD95" s="163">
        <f>VLOOKUP($Q95,Iedz_sk!$B$14:$Y$123,24,FALSE)*M$64</f>
        <v>36507.8111191274</v>
      </c>
    </row>
    <row r="96" spans="17:30" x14ac:dyDescent="0.35">
      <c r="Q96" s="3" t="s">
        <v>78</v>
      </c>
      <c r="R96" s="3" t="s">
        <v>295</v>
      </c>
      <c r="S96" s="85">
        <f>VLOOKUP($Q96,Iedz_sk!$B$14:$R$123,3,FALSE)*B$64</f>
        <v>60730.01255695476</v>
      </c>
      <c r="T96" s="85">
        <f>VLOOKUP($Q96,Iedz_sk!$B$14:$R$123,4,FALSE)*C$64</f>
        <v>65480.9540584633</v>
      </c>
      <c r="U96" s="85">
        <f>VLOOKUP($Q96,Iedz_sk!$B$14:$R$123,5,FALSE)*D$64</f>
        <v>68121.983007205883</v>
      </c>
      <c r="V96" s="85">
        <f>VLOOKUP($Q96,Iedz_sk!$B$14:$R$123,6,FALSE)*E$64</f>
        <v>70421.883486991792</v>
      </c>
      <c r="W96" s="85">
        <f>VLOOKUP($Q96,Iedz_sk!$B$14:$R$123,7,FALSE)*F$64</f>
        <v>72578.198346366989</v>
      </c>
      <c r="X96" s="85">
        <f>VLOOKUP($Q96,Iedz_sk!$B$14:$R$123,8,FALSE)*G$64</f>
        <v>77115.230445949099</v>
      </c>
      <c r="Y96" s="91">
        <f>VLOOKUP($Q96,Iedz_sk!$B$14:$R$123,9,FALSE)*H$64</f>
        <v>82954.017387887288</v>
      </c>
      <c r="Z96" s="91">
        <f>VLOOKUP($Q96,Iedz_sk!$B$14:$R$123,10,FALSE)*I$64</f>
        <v>80363.670557619072</v>
      </c>
      <c r="AA96" s="91">
        <f>VLOOKUP($Q96,Iedz_sk!$B$14:$R$123,11,FALSE)*J$64</f>
        <v>84898.2346564459</v>
      </c>
      <c r="AB96" s="91">
        <f>VLOOKUP($Q96,Iedz_sk!$B$14:$R$123,16,FALSE)*K$64</f>
        <v>90904.061588980432</v>
      </c>
      <c r="AC96" s="162">
        <f>VLOOKUP($Q96,Iedz_sk!$B$14:$R$123,17,FALSE)*L$64</f>
        <v>96166.906114270867</v>
      </c>
      <c r="AD96" s="163">
        <f>VLOOKUP($Q96,Iedz_sk!$B$14:$Y$123,24,FALSE)*M$64</f>
        <v>133967.56430193171</v>
      </c>
    </row>
    <row r="97" spans="17:30" x14ac:dyDescent="0.35">
      <c r="Q97" s="3" t="s">
        <v>81</v>
      </c>
      <c r="R97" s="3" t="s">
        <v>295</v>
      </c>
      <c r="S97" s="85">
        <f>VLOOKUP($Q97,Iedz_sk!$B$14:$R$123,3,FALSE)*B$64</f>
        <v>34314.925794376875</v>
      </c>
      <c r="T97" s="85">
        <f>VLOOKUP($Q97,Iedz_sk!$B$14:$R$123,4,FALSE)*C$64</f>
        <v>37020.698795914141</v>
      </c>
      <c r="U97" s="85">
        <f>VLOOKUP($Q97,Iedz_sk!$B$14:$R$123,5,FALSE)*D$64</f>
        <v>37780.335811449142</v>
      </c>
      <c r="V97" s="85">
        <f>VLOOKUP($Q97,Iedz_sk!$B$14:$R$123,6,FALSE)*E$64</f>
        <v>38471.483682538092</v>
      </c>
      <c r="W97" s="85">
        <f>VLOOKUP($Q97,Iedz_sk!$B$14:$R$123,7,FALSE)*F$64</f>
        <v>39012.008997708974</v>
      </c>
      <c r="X97" s="85">
        <f>VLOOKUP($Q97,Iedz_sk!$B$14:$R$123,8,FALSE)*G$64</f>
        <v>39331.581951902874</v>
      </c>
      <c r="Y97" s="91">
        <f>VLOOKUP($Q97,Iedz_sk!$B$14:$R$123,9,FALSE)*H$64</f>
        <v>40807.152299147281</v>
      </c>
      <c r="Z97" s="91">
        <f>VLOOKUP($Q97,Iedz_sk!$B$14:$R$123,10,FALSE)*I$64</f>
        <v>38599.557845340314</v>
      </c>
      <c r="AA97" s="91">
        <f>VLOOKUP($Q97,Iedz_sk!$B$14:$R$123,11,FALSE)*J$64</f>
        <v>40665.469253916839</v>
      </c>
      <c r="AB97" s="91">
        <f>VLOOKUP($Q97,Iedz_sk!$B$14:$R$123,16,FALSE)*K$64</f>
        <v>42643.760887829638</v>
      </c>
      <c r="AC97" s="162">
        <f>VLOOKUP($Q97,Iedz_sk!$B$14:$R$123,17,FALSE)*L$64</f>
        <v>44161.906550424203</v>
      </c>
      <c r="AD97" s="163">
        <f>VLOOKUP($Q97,Iedz_sk!$B$14:$Y$123,24,FALSE)*M$64</f>
        <v>52425.533537662341</v>
      </c>
    </row>
    <row r="98" spans="17:30" x14ac:dyDescent="0.35">
      <c r="Q98" s="3" t="s">
        <v>92</v>
      </c>
      <c r="R98" s="3" t="s">
        <v>295</v>
      </c>
      <c r="S98" s="85">
        <f>VLOOKUP($Q98,Iedz_sk!$B$14:$R$123,3,FALSE)*B$64</f>
        <v>22656.491473229769</v>
      </c>
      <c r="T98" s="85">
        <f>VLOOKUP($Q98,Iedz_sk!$B$14:$R$123,4,FALSE)*C$64</f>
        <v>24515.537814870277</v>
      </c>
      <c r="U98" s="85">
        <f>VLOOKUP($Q98,Iedz_sk!$B$14:$R$123,5,FALSE)*D$64</f>
        <v>24967.689640693789</v>
      </c>
      <c r="V98" s="85">
        <f>VLOOKUP($Q98,Iedz_sk!$B$14:$R$123,6,FALSE)*E$64</f>
        <v>25276.478022976691</v>
      </c>
      <c r="W98" s="85">
        <f>VLOOKUP($Q98,Iedz_sk!$B$14:$R$123,7,FALSE)*F$64</f>
        <v>25839.319028298625</v>
      </c>
      <c r="X98" s="85">
        <f>VLOOKUP($Q98,Iedz_sk!$B$14:$R$123,8,FALSE)*G$64</f>
        <v>26635.400459179702</v>
      </c>
      <c r="Y98" s="91">
        <f>VLOOKUP($Q98,Iedz_sk!$B$14:$R$123,9,FALSE)*H$64</f>
        <v>27925.938645175014</v>
      </c>
      <c r="Z98" s="91">
        <f>VLOOKUP($Q98,Iedz_sk!$B$14:$R$123,10,FALSE)*I$64</f>
        <v>26974.825916409474</v>
      </c>
      <c r="AA98" s="91">
        <f>VLOOKUP($Q98,Iedz_sk!$B$14:$R$123,11,FALSE)*J$64</f>
        <v>28077.522318024428</v>
      </c>
      <c r="AB98" s="91">
        <f>VLOOKUP($Q98,Iedz_sk!$B$14:$R$123,16,FALSE)*K$64</f>
        <v>29623.600411494226</v>
      </c>
      <c r="AC98" s="162">
        <f>VLOOKUP($Q98,Iedz_sk!$B$14:$R$123,17,FALSE)*L$64</f>
        <v>30862.330422142168</v>
      </c>
      <c r="AD98" s="163">
        <f>VLOOKUP($Q98,Iedz_sk!$B$14:$Y$123,24,FALSE)*M$64</f>
        <v>38500.826115146287</v>
      </c>
    </row>
    <row r="99" spans="17:30" x14ac:dyDescent="0.35">
      <c r="Q99" s="3" t="s">
        <v>95</v>
      </c>
      <c r="R99" s="3" t="s">
        <v>295</v>
      </c>
      <c r="S99" s="85">
        <f>VLOOKUP($Q99,Iedz_sk!$B$14:$R$123,3,FALSE)*B$64</f>
        <v>23409.444880948111</v>
      </c>
      <c r="T99" s="85">
        <f>VLOOKUP($Q99,Iedz_sk!$B$14:$R$123,4,FALSE)*C$64</f>
        <v>25247.547238150895</v>
      </c>
      <c r="U99" s="85">
        <f>VLOOKUP($Q99,Iedz_sk!$B$14:$R$123,5,FALSE)*D$64</f>
        <v>25780.85427073621</v>
      </c>
      <c r="V99" s="85">
        <f>VLOOKUP($Q99,Iedz_sk!$B$14:$R$123,6,FALSE)*E$64</f>
        <v>26149.837470934424</v>
      </c>
      <c r="W99" s="85">
        <f>VLOOKUP($Q99,Iedz_sk!$B$14:$R$123,7,FALSE)*F$64</f>
        <v>26405.805122166617</v>
      </c>
      <c r="X99" s="85">
        <f>VLOOKUP($Q99,Iedz_sk!$B$14:$R$123,8,FALSE)*G$64</f>
        <v>26604.129076192701</v>
      </c>
      <c r="Y99" s="91">
        <f>VLOOKUP($Q99,Iedz_sk!$B$14:$R$123,9,FALSE)*H$64</f>
        <v>27726.229906353739</v>
      </c>
      <c r="Z99" s="91">
        <f>VLOOKUP($Q99,Iedz_sk!$B$14:$R$123,10,FALSE)*I$64</f>
        <v>26406.007193491427</v>
      </c>
      <c r="AA99" s="91">
        <f>VLOOKUP($Q99,Iedz_sk!$B$14:$R$123,11,FALSE)*J$64</f>
        <v>27659.346453713428</v>
      </c>
      <c r="AB99" s="91">
        <f>VLOOKUP($Q99,Iedz_sk!$B$14:$R$123,16,FALSE)*K$64</f>
        <v>29076.534845261645</v>
      </c>
      <c r="AC99" s="162">
        <f>VLOOKUP($Q99,Iedz_sk!$B$14:$R$123,17,FALSE)*L$64</f>
        <v>30198.313958429102</v>
      </c>
      <c r="AD99" s="163">
        <f>VLOOKUP($Q99,Iedz_sk!$B$14:$Y$123,24,FALSE)*M$64</f>
        <v>36652.997642016191</v>
      </c>
    </row>
    <row r="100" spans="17:30" x14ac:dyDescent="0.35">
      <c r="Q100" s="3" t="s">
        <v>101</v>
      </c>
      <c r="R100" s="3" t="s">
        <v>295</v>
      </c>
      <c r="S100" s="85">
        <f>VLOOKUP($Q100,Iedz_sk!$B$14:$R$123,3,FALSE)*B$64</f>
        <v>22372.591008024494</v>
      </c>
      <c r="T100" s="85">
        <f>VLOOKUP($Q100,Iedz_sk!$B$14:$R$123,4,FALSE)*C$64</f>
        <v>24088.532317956586</v>
      </c>
      <c r="U100" s="85">
        <f>VLOOKUP($Q100,Iedz_sk!$B$14:$R$123,5,FALSE)*D$64</f>
        <v>24805.056714685306</v>
      </c>
      <c r="V100" s="85">
        <f>VLOOKUP($Q100,Iedz_sk!$B$14:$R$123,6,FALSE)*E$64</f>
        <v>25283.756018376338</v>
      </c>
      <c r="W100" s="85">
        <f>VLOOKUP($Q100,Iedz_sk!$B$14:$R$123,7,FALSE)*F$64</f>
        <v>25778.893844952705</v>
      </c>
      <c r="X100" s="85">
        <f>VLOOKUP($Q100,Iedz_sk!$B$14:$R$123,8,FALSE)*G$64</f>
        <v>26314.868783562924</v>
      </c>
      <c r="Y100" s="91">
        <f>VLOOKUP($Q100,Iedz_sk!$B$14:$R$123,9,FALSE)*H$64</f>
        <v>27784.478288509945</v>
      </c>
      <c r="Z100" s="91">
        <f>VLOOKUP($Q100,Iedz_sk!$B$14:$R$123,10,FALSE)*I$64</f>
        <v>27343.3563566099</v>
      </c>
      <c r="AA100" s="91">
        <f>VLOOKUP($Q100,Iedz_sk!$B$14:$R$123,11,FALSE)*J$64</f>
        <v>29161.365884708048</v>
      </c>
      <c r="AB100" s="91">
        <f>VLOOKUP($Q100,Iedz_sk!$B$14:$R$123,16,FALSE)*K$64</f>
        <v>30553.611874089613</v>
      </c>
      <c r="AC100" s="162">
        <f>VLOOKUP($Q100,Iedz_sk!$B$14:$R$123,17,FALSE)*L$64</f>
        <v>31612.957728948244</v>
      </c>
      <c r="AD100" s="163">
        <f>VLOOKUP($Q100,Iedz_sk!$B$14:$Y$123,24,FALSE)*M$64</f>
        <v>37246.942508379434</v>
      </c>
    </row>
    <row r="101" spans="17:30" x14ac:dyDescent="0.35">
      <c r="Q101" s="3" t="s">
        <v>107</v>
      </c>
      <c r="R101" s="3" t="s">
        <v>295</v>
      </c>
      <c r="S101" s="85">
        <f>VLOOKUP($Q101,Iedz_sk!$B$14:$R$123,3,FALSE)*B$64</f>
        <v>22088.690542819219</v>
      </c>
      <c r="T101" s="85">
        <f>VLOOKUP($Q101,Iedz_sk!$B$14:$R$123,4,FALSE)*C$64</f>
        <v>23729.305471346652</v>
      </c>
      <c r="U101" s="85">
        <f>VLOOKUP($Q101,Iedz_sk!$B$14:$R$123,5,FALSE)*D$64</f>
        <v>24310.086939876877</v>
      </c>
      <c r="V101" s="85">
        <f>VLOOKUP($Q101,Iedz_sk!$B$14:$R$123,6,FALSE)*E$64</f>
        <v>25414.75993557</v>
      </c>
      <c r="W101" s="85">
        <f>VLOOKUP($Q101,Iedz_sk!$B$14:$R$123,7,FALSE)*F$64</f>
        <v>25665.596626179107</v>
      </c>
      <c r="X101" s="85">
        <f>VLOOKUP($Q101,Iedz_sk!$B$14:$R$123,8,FALSE)*G$64</f>
        <v>26549.404155965447</v>
      </c>
      <c r="Y101" s="91">
        <f>VLOOKUP($Q101,Iedz_sk!$B$14:$R$123,9,FALSE)*H$64</f>
        <v>27784.478288509945</v>
      </c>
      <c r="Z101" s="91">
        <f>VLOOKUP($Q101,Iedz_sk!$B$14:$R$123,10,FALSE)*I$64</f>
        <v>26862.664478087605</v>
      </c>
      <c r="AA101" s="91">
        <f>VLOOKUP($Q101,Iedz_sk!$B$14:$R$123,11,FALSE)*J$64</f>
        <v>27932.440895712447</v>
      </c>
      <c r="AB101" s="91">
        <f>VLOOKUP($Q101,Iedz_sk!$B$14:$R$123,16,FALSE)*K$64</f>
        <v>29477.71626049887</v>
      </c>
      <c r="AC101" s="162">
        <f>VLOOKUP($Q101,Iedz_sk!$B$14:$R$123,17,FALSE)*L$64</f>
        <v>30717.979016987152</v>
      </c>
      <c r="AD101" s="163">
        <f>VLOOKUP($Q101,Iedz_sk!$B$14:$Y$123,24,FALSE)*M$64</f>
        <v>38408.434691489783</v>
      </c>
    </row>
    <row r="102" spans="17:30" x14ac:dyDescent="0.35">
      <c r="Q102" s="3" t="s">
        <v>114</v>
      </c>
      <c r="R102" s="3" t="s">
        <v>295</v>
      </c>
      <c r="S102" s="85">
        <f>VLOOKUP($Q102,Iedz_sk!$B$14:$R$123,3,FALSE)*B$64</f>
        <v>53299.226467668836</v>
      </c>
      <c r="T102" s="85">
        <f>VLOOKUP($Q102,Iedz_sk!$B$14:$R$123,4,FALSE)*C$64</f>
        <v>57516.962647771405</v>
      </c>
      <c r="U102" s="85">
        <f>VLOOKUP($Q102,Iedz_sk!$B$14:$R$123,5,FALSE)*D$64</f>
        <v>59219.598057437128</v>
      </c>
      <c r="V102" s="85">
        <f>VLOOKUP($Q102,Iedz_sk!$B$14:$R$123,6,FALSE)*E$64</f>
        <v>60138.075987289492</v>
      </c>
      <c r="W102" s="85">
        <f>VLOOKUP($Q102,Iedz_sk!$B$14:$R$123,7,FALSE)*F$64</f>
        <v>60417.630198000792</v>
      </c>
      <c r="X102" s="85">
        <f>VLOOKUP($Q102,Iedz_sk!$B$14:$R$123,8,FALSE)*G$64</f>
        <v>61706.256479103431</v>
      </c>
      <c r="Y102" s="91">
        <f>VLOOKUP($Q102,Iedz_sk!$B$14:$R$123,9,FALSE)*H$64</f>
        <v>64963.58849907072</v>
      </c>
      <c r="Z102" s="91">
        <f>VLOOKUP($Q102,Iedz_sk!$B$14:$R$123,10,FALSE)*I$64</f>
        <v>62874.497710716234</v>
      </c>
      <c r="AA102" s="91">
        <f>VLOOKUP($Q102,Iedz_sk!$B$14:$R$123,11,FALSE)*J$64</f>
        <v>66524.099230699212</v>
      </c>
      <c r="AB102" s="91">
        <f>VLOOKUP($Q102,Iedz_sk!$B$14:$R$123,16,FALSE)*K$64</f>
        <v>69750.859694653991</v>
      </c>
      <c r="AC102" s="162">
        <f>VLOOKUP($Q102,Iedz_sk!$B$14:$R$123,17,FALSE)*L$64</f>
        <v>72223.819712559081</v>
      </c>
      <c r="AD102" s="163">
        <f>VLOOKUP($Q102,Iedz_sk!$B$14:$Y$123,24,FALSE)*M$64</f>
        <v>85633.650954771714</v>
      </c>
    </row>
    <row r="103" spans="17:30" x14ac:dyDescent="0.35">
      <c r="Q103" s="3" t="s">
        <v>116</v>
      </c>
      <c r="R103" s="3" t="s">
        <v>295</v>
      </c>
      <c r="S103" s="85">
        <f>VLOOKUP($Q103,Iedz_sk!$B$14:$R$123,3,FALSE)*B$64</f>
        <v>24767.229714538564</v>
      </c>
      <c r="T103" s="85">
        <f>VLOOKUP($Q103,Iedz_sk!$B$14:$R$123,4,FALSE)*C$64</f>
        <v>26874.234845441151</v>
      </c>
      <c r="U103" s="85">
        <f>VLOOKUP($Q103,Iedz_sk!$B$14:$R$123,5,FALSE)*D$64</f>
        <v>27477.893498650825</v>
      </c>
      <c r="V103" s="85">
        <f>VLOOKUP($Q103,Iedz_sk!$B$14:$R$123,6,FALSE)*E$64</f>
        <v>27765.552449656228</v>
      </c>
      <c r="W103" s="85">
        <f>VLOOKUP($Q103,Iedz_sk!$B$14:$R$123,7,FALSE)*F$64</f>
        <v>27954.200445405793</v>
      </c>
      <c r="X103" s="85">
        <f>VLOOKUP($Q103,Iedz_sk!$B$14:$R$123,8,FALSE)*G$64</f>
        <v>28292.783757490855</v>
      </c>
      <c r="Y103" s="91">
        <f>VLOOKUP($Q103,Iedz_sk!$B$14:$R$123,9,FALSE)*H$64</f>
        <v>29681.71130731206</v>
      </c>
      <c r="Z103" s="91">
        <f>VLOOKUP($Q103,Iedz_sk!$B$14:$R$123,10,FALSE)*I$64</f>
        <v>28633.212897311394</v>
      </c>
      <c r="AA103" s="91">
        <f>VLOOKUP($Q103,Iedz_sk!$B$14:$R$123,11,FALSE)*J$64</f>
        <v>30168.401639579439</v>
      </c>
      <c r="AB103" s="91">
        <f>VLOOKUP($Q103,Iedz_sk!$B$14:$R$123,16,FALSE)*K$64</f>
        <v>31465.387817810581</v>
      </c>
      <c r="AC103" s="162">
        <f>VLOOKUP($Q103,Iedz_sk!$B$14:$R$123,17,FALSE)*L$64</f>
        <v>32402.078743795661</v>
      </c>
      <c r="AD103" s="163">
        <f>VLOOKUP($Q103,Iedz_sk!$B$14:$Y$123,24,FALSE)*M$64</f>
        <v>36692.593966440407</v>
      </c>
    </row>
    <row r="104" spans="17:30" x14ac:dyDescent="0.35">
      <c r="Q104" s="3" t="s">
        <v>10</v>
      </c>
      <c r="R104" s="3" t="s">
        <v>296</v>
      </c>
      <c r="S104" s="85">
        <f>VLOOKUP($Q104,Iedz_sk!$B$14:$R$123,3,FALSE)*B$65</f>
        <v>16192.161357926059</v>
      </c>
      <c r="T104" s="85">
        <f>VLOOKUP($Q104,Iedz_sk!$B$14:$R$123,4,FALSE)*C$65</f>
        <v>16412.450005032952</v>
      </c>
      <c r="U104" s="85">
        <f>VLOOKUP($Q104,Iedz_sk!$B$14:$R$123,5,FALSE)*D$65</f>
        <v>16937.195568929441</v>
      </c>
      <c r="V104" s="85">
        <f>VLOOKUP($Q104,Iedz_sk!$B$14:$R$123,6,FALSE)*E$65</f>
        <v>17055.530743018</v>
      </c>
      <c r="W104" s="85">
        <f>VLOOKUP($Q104,Iedz_sk!$B$14:$R$123,7,FALSE)*F$65</f>
        <v>18523.49793261139</v>
      </c>
      <c r="X104" s="85">
        <f>VLOOKUP($Q104,Iedz_sk!$B$14:$R$123,8,FALSE)*G$65</f>
        <v>19318.633381339972</v>
      </c>
      <c r="Y104" s="91">
        <f>VLOOKUP($Q104,Iedz_sk!$B$14:$R$123,9,FALSE)*H$65</f>
        <v>20061.256373884862</v>
      </c>
      <c r="Z104" s="91">
        <f>VLOOKUP($Q104,Iedz_sk!$B$14:$R$123,10,FALSE)*I$65</f>
        <v>19132.529698367471</v>
      </c>
      <c r="AA104" s="91">
        <f>VLOOKUP($Q104,Iedz_sk!$B$14:$R$123,11,FALSE)*J$65</f>
        <v>20003.89150818995</v>
      </c>
      <c r="AB104" s="91">
        <f>VLOOKUP($Q104,Iedz_sk!$B$14:$R$123,16,FALSE)*K$65</f>
        <v>21008.52163844333</v>
      </c>
      <c r="AC104" s="162">
        <f>VLOOKUP($Q104,Iedz_sk!$B$14:$R$123,17,FALSE)*L$65</f>
        <v>21782.389328454396</v>
      </c>
      <c r="AD104" s="163">
        <f>VLOOKUP($Q104,Iedz_sk!$B$14:$Y$123,24,FALSE)*M$65</f>
        <v>26157.007071792112</v>
      </c>
    </row>
    <row r="105" spans="17:30" x14ac:dyDescent="0.35">
      <c r="Q105" s="3" t="s">
        <v>23</v>
      </c>
      <c r="R105" s="3" t="s">
        <v>296</v>
      </c>
      <c r="S105" s="85">
        <f>VLOOKUP($Q105,Iedz_sk!$B$14:$R$123,3,FALSE)*B$65</f>
        <v>4844.8651220952452</v>
      </c>
      <c r="T105" s="85">
        <f>VLOOKUP($Q105,Iedz_sk!$B$14:$R$123,4,FALSE)*C$65</f>
        <v>4891.6227299910588</v>
      </c>
      <c r="U105" s="85">
        <f>VLOOKUP($Q105,Iedz_sk!$B$14:$R$123,5,FALSE)*D$65</f>
        <v>5008.6827997515511</v>
      </c>
      <c r="V105" s="85">
        <f>VLOOKUP($Q105,Iedz_sk!$B$14:$R$123,6,FALSE)*E$65</f>
        <v>5039.6774328962638</v>
      </c>
      <c r="W105" s="85">
        <f>VLOOKUP($Q105,Iedz_sk!$B$14:$R$123,7,FALSE)*F$65</f>
        <v>5585.0826129759598</v>
      </c>
      <c r="X105" s="85">
        <f>VLOOKUP($Q105,Iedz_sk!$B$14:$R$123,8,FALSE)*G$65</f>
        <v>5838.2089396615211</v>
      </c>
      <c r="Y105" s="91">
        <f>VLOOKUP($Q105,Iedz_sk!$B$14:$R$123,9,FALSE)*H$65</f>
        <v>6054.2118107336637</v>
      </c>
      <c r="Z105" s="91">
        <f>VLOOKUP($Q105,Iedz_sk!$B$14:$R$123,10,FALSE)*I$65</f>
        <v>6009.0677380126363</v>
      </c>
      <c r="AA105" s="91">
        <f>VLOOKUP($Q105,Iedz_sk!$B$14:$R$123,11,FALSE)*J$65</f>
        <v>6161.6194422005201</v>
      </c>
      <c r="AB105" s="91">
        <f>VLOOKUP($Q105,Iedz_sk!$B$14:$R$123,16,FALSE)*K$65</f>
        <v>6472.322322954763</v>
      </c>
      <c r="AC105" s="162">
        <f>VLOOKUP($Q105,Iedz_sk!$B$14:$R$123,17,FALSE)*L$65</f>
        <v>6714.4196307593284</v>
      </c>
      <c r="AD105" s="163">
        <f>VLOOKUP($Q105,Iedz_sk!$B$14:$Y$123,24,FALSE)*M$65</f>
        <v>8073.5555077300614</v>
      </c>
    </row>
    <row r="106" spans="17:30" x14ac:dyDescent="0.35">
      <c r="Q106" s="3" t="s">
        <v>24</v>
      </c>
      <c r="R106" s="3" t="s">
        <v>296</v>
      </c>
      <c r="S106" s="85">
        <f>VLOOKUP($Q106,Iedz_sk!$B$14:$R$123,3,FALSE)*B$65</f>
        <v>57989.243136846249</v>
      </c>
      <c r="T106" s="85">
        <f>VLOOKUP($Q106,Iedz_sk!$B$14:$R$123,4,FALSE)*C$65</f>
        <v>58510.318283822911</v>
      </c>
      <c r="U106" s="85">
        <f>VLOOKUP($Q106,Iedz_sk!$B$14:$R$123,5,FALSE)*D$65</f>
        <v>60154.972869642828</v>
      </c>
      <c r="V106" s="85">
        <f>VLOOKUP($Q106,Iedz_sk!$B$14:$R$123,6,FALSE)*E$65</f>
        <v>60667.388300367929</v>
      </c>
      <c r="W106" s="85">
        <f>VLOOKUP($Q106,Iedz_sk!$B$14:$R$123,7,FALSE)*F$65</f>
        <v>66535.800781225189</v>
      </c>
      <c r="X106" s="85">
        <f>VLOOKUP($Q106,Iedz_sk!$B$14:$R$123,8,FALSE)*G$65</f>
        <v>70811.636229154581</v>
      </c>
      <c r="Y106" s="91">
        <f>VLOOKUP($Q106,Iedz_sk!$B$14:$R$123,9,FALSE)*H$65</f>
        <v>75297.294763402999</v>
      </c>
      <c r="Z106" s="91">
        <f>VLOOKUP($Q106,Iedz_sk!$B$14:$R$123,10,FALSE)*I$65</f>
        <v>72114.919632308156</v>
      </c>
      <c r="AA106" s="91">
        <f>VLOOKUP($Q106,Iedz_sk!$B$14:$R$123,11,FALSE)*J$65</f>
        <v>76122.632511113363</v>
      </c>
      <c r="AB106" s="91">
        <f>VLOOKUP($Q106,Iedz_sk!$B$14:$R$123,16,FALSE)*K$65</f>
        <v>79874.823683940092</v>
      </c>
      <c r="AC106" s="162">
        <f>VLOOKUP($Q106,Iedz_sk!$B$14:$R$123,17,FALSE)*L$65</f>
        <v>82768.568079953737</v>
      </c>
      <c r="AD106" s="163">
        <f>VLOOKUP($Q106,Iedz_sk!$B$14:$Y$123,24,FALSE)*M$65</f>
        <v>98654.909984701488</v>
      </c>
    </row>
    <row r="107" spans="17:30" x14ac:dyDescent="0.35">
      <c r="Q107" s="3" t="s">
        <v>32</v>
      </c>
      <c r="R107" s="3" t="s">
        <v>296</v>
      </c>
      <c r="S107" s="85">
        <f>VLOOKUP($Q107,Iedz_sk!$B$14:$R$123,3,FALSE)*B$65</f>
        <v>12007.765975430431</v>
      </c>
      <c r="T107" s="85">
        <f>VLOOKUP($Q107,Iedz_sk!$B$14:$R$123,4,FALSE)*C$65</f>
        <v>12119.083292378928</v>
      </c>
      <c r="U107" s="85">
        <f>VLOOKUP($Q107,Iedz_sk!$B$14:$R$123,5,FALSE)*D$65</f>
        <v>12496.317363066773</v>
      </c>
      <c r="V107" s="85">
        <f>VLOOKUP($Q107,Iedz_sk!$B$14:$R$123,6,FALSE)*E$65</f>
        <v>12713.949045608317</v>
      </c>
      <c r="W107" s="85">
        <f>VLOOKUP($Q107,Iedz_sk!$B$14:$R$123,7,FALSE)*F$65</f>
        <v>13844.104392009909</v>
      </c>
      <c r="X107" s="85">
        <f>VLOOKUP($Q107,Iedz_sk!$B$14:$R$123,8,FALSE)*G$65</f>
        <v>14683.095483248724</v>
      </c>
      <c r="Y107" s="91">
        <f>VLOOKUP($Q107,Iedz_sk!$B$14:$R$123,9,FALSE)*H$65</f>
        <v>15270.696249503706</v>
      </c>
      <c r="Z107" s="91">
        <f>VLOOKUP($Q107,Iedz_sk!$B$14:$R$123,10,FALSE)*I$65</f>
        <v>14967.708359622939</v>
      </c>
      <c r="AA107" s="91">
        <f>VLOOKUP($Q107,Iedz_sk!$B$14:$R$123,11,FALSE)*J$65</f>
        <v>15532.278679271749</v>
      </c>
      <c r="AB107" s="91">
        <f>VLOOKUP($Q107,Iedz_sk!$B$14:$R$123,16,FALSE)*K$65</f>
        <v>16382.402732200253</v>
      </c>
      <c r="AC107" s="162">
        <f>VLOOKUP($Q107,Iedz_sk!$B$14:$R$123,17,FALSE)*L$65</f>
        <v>17068.009587708482</v>
      </c>
      <c r="AD107" s="163">
        <f>VLOOKUP($Q107,Iedz_sk!$B$14:$Y$123,24,FALSE)*M$65</f>
        <v>21332.565365953415</v>
      </c>
    </row>
    <row r="108" spans="17:30" x14ac:dyDescent="0.35">
      <c r="Q108" s="3" t="s">
        <v>33</v>
      </c>
      <c r="R108" s="3" t="s">
        <v>296</v>
      </c>
      <c r="S108" s="85">
        <f>VLOOKUP($Q108,Iedz_sk!$B$14:$R$123,3,FALSE)*B$65</f>
        <v>34148.416084847224</v>
      </c>
      <c r="T108" s="85">
        <f>VLOOKUP($Q108,Iedz_sk!$B$14:$R$123,4,FALSE)*C$65</f>
        <v>34395.32205557562</v>
      </c>
      <c r="U108" s="85">
        <f>VLOOKUP($Q108,Iedz_sk!$B$14:$R$123,5,FALSE)*D$65</f>
        <v>35300.827068848033</v>
      </c>
      <c r="V108" s="85">
        <f>VLOOKUP($Q108,Iedz_sk!$B$14:$R$123,6,FALSE)*E$65</f>
        <v>35669.823196780009</v>
      </c>
      <c r="W108" s="85">
        <f>VLOOKUP($Q108,Iedz_sk!$B$14:$R$123,7,FALSE)*F$65</f>
        <v>39100.969297214906</v>
      </c>
      <c r="X108" s="85">
        <f>VLOOKUP($Q108,Iedz_sk!$B$14:$R$123,8,FALSE)*G$65</f>
        <v>40820.756906113354</v>
      </c>
      <c r="Y108" s="91">
        <f>VLOOKUP($Q108,Iedz_sk!$B$14:$R$123,9,FALSE)*H$65</f>
        <v>42605.808350303261</v>
      </c>
      <c r="Z108" s="91">
        <f>VLOOKUP($Q108,Iedz_sk!$B$14:$R$123,10,FALSE)*I$65</f>
        <v>40823.798606315526</v>
      </c>
      <c r="AA108" s="91">
        <f>VLOOKUP($Q108,Iedz_sk!$B$14:$R$123,11,FALSE)*J$65</f>
        <v>42578.960393007867</v>
      </c>
      <c r="AB108" s="91">
        <f>VLOOKUP($Q108,Iedz_sk!$B$14:$R$123,16,FALSE)*K$65</f>
        <v>44676.707969160969</v>
      </c>
      <c r="AC108" s="162">
        <f>VLOOKUP($Q108,Iedz_sk!$B$14:$R$123,17,FALSE)*L$65</f>
        <v>46286.637454596217</v>
      </c>
      <c r="AD108" s="163">
        <f>VLOOKUP($Q108,Iedz_sk!$B$14:$Y$123,24,FALSE)*M$65</f>
        <v>55147.416415267267</v>
      </c>
    </row>
    <row r="109" spans="17:30" x14ac:dyDescent="0.35">
      <c r="Q109" s="3" t="s">
        <v>2</v>
      </c>
      <c r="R109" s="3" t="s">
        <v>296</v>
      </c>
      <c r="S109" s="85">
        <f>VLOOKUP($Q109,$A$20:$L$28,2,FALSE)</f>
        <v>724319</v>
      </c>
      <c r="T109" s="85">
        <f>VLOOKUP($Q109,$A$20:$L$28,3,FALSE)</f>
        <v>728322</v>
      </c>
      <c r="U109" s="85">
        <f>VLOOKUP($Q109,$A$20:$L$28,4,FALSE)</f>
        <v>719182</v>
      </c>
      <c r="V109" s="85">
        <f>VLOOKUP($Q109,$A$20:$L$28,5,FALSE)</f>
        <v>722341</v>
      </c>
      <c r="W109" s="85">
        <f>VLOOKUP($Q109,$A$20:$L$28,6,FALSE)</f>
        <v>761088</v>
      </c>
      <c r="X109" s="85">
        <f>VLOOKUP($Q109,$A$20:$L$28,7,FALSE)</f>
        <v>693172</v>
      </c>
      <c r="Y109" s="91">
        <f>VLOOKUP($Q109,$A$20:$L$28,8,FALSE)</f>
        <v>728686.27649347472</v>
      </c>
      <c r="Z109" s="91">
        <f>VLOOKUP($Q109,$A$20:$L$28,9,FALSE)</f>
        <v>701670.20320608572</v>
      </c>
      <c r="AA109" s="91">
        <f>VLOOKUP($Q109,$A$20:$L$28,10,FALSE)</f>
        <v>738858.72397600824</v>
      </c>
      <c r="AB109" s="91">
        <f>VLOOKUP($Q109,$A$20:$L$28,11,FALSE)</f>
        <v>776540.51889878465</v>
      </c>
      <c r="AC109" s="162">
        <f>VLOOKUP($Q109,$A$20:$L$28,12,FALSE)</f>
        <v>806049.05861693854</v>
      </c>
      <c r="AD109" s="163">
        <f>VLOOKUP($Q109,$A$20:$M$28,13,FALSE)</f>
        <v>975319.36092649563</v>
      </c>
    </row>
    <row r="110" spans="17:30" x14ac:dyDescent="0.35">
      <c r="Q110" s="3" t="s">
        <v>34</v>
      </c>
      <c r="R110" s="3" t="s">
        <v>296</v>
      </c>
      <c r="S110" s="85">
        <f>VLOOKUP($Q110,Iedz_sk!$B$14:$R$123,3,FALSE)*B$65</f>
        <v>102266.28226058563</v>
      </c>
      <c r="T110" s="85">
        <f>VLOOKUP($Q110,Iedz_sk!$B$14:$R$123,4,FALSE)*C$65</f>
        <v>103388.3174667085</v>
      </c>
      <c r="U110" s="85">
        <f>VLOOKUP($Q110,Iedz_sk!$B$14:$R$123,5,FALSE)*D$65</f>
        <v>105473.16553799396</v>
      </c>
      <c r="V110" s="85">
        <f>VLOOKUP($Q110,Iedz_sk!$B$14:$R$123,6,FALSE)*E$65</f>
        <v>105651.52994048942</v>
      </c>
      <c r="W110" s="85">
        <f>VLOOKUP($Q110,Iedz_sk!$B$14:$R$123,7,FALSE)*F$65</f>
        <v>114833.82696814761</v>
      </c>
      <c r="X110" s="85">
        <f>VLOOKUP($Q110,Iedz_sk!$B$14:$R$123,8,FALSE)*G$65</f>
        <v>120757.5137079589</v>
      </c>
      <c r="Y110" s="91">
        <f>VLOOKUP($Q110,Iedz_sk!$B$14:$R$123,9,FALSE)*H$65</f>
        <v>126673.22302645129</v>
      </c>
      <c r="Z110" s="91">
        <f>VLOOKUP($Q110,Iedz_sk!$B$14:$R$123,10,FALSE)*I$65</f>
        <v>122593.53134207691</v>
      </c>
      <c r="AA110" s="91">
        <f>VLOOKUP($Q110,Iedz_sk!$B$14:$R$123,11,FALSE)*J$65</f>
        <v>128578.59653505526</v>
      </c>
      <c r="AB110" s="91">
        <f>VLOOKUP($Q110,Iedz_sk!$B$14:$R$123,16,FALSE)*K$65</f>
        <v>134164.52185735846</v>
      </c>
      <c r="AC110" s="162">
        <f>VLOOKUP($Q110,Iedz_sk!$B$14:$R$123,17,FALSE)*L$65</f>
        <v>138205.76397870909</v>
      </c>
      <c r="AD110" s="163">
        <f>VLOOKUP($Q110,Iedz_sk!$B$14:$Y$123,24,FALSE)*M$65</f>
        <v>156187.19781011125</v>
      </c>
    </row>
    <row r="111" spans="17:30" x14ac:dyDescent="0.35">
      <c r="Q111" s="3" t="s">
        <v>45</v>
      </c>
      <c r="R111" s="3" t="s">
        <v>296</v>
      </c>
      <c r="S111" s="85">
        <f>VLOOKUP($Q111,Iedz_sk!$B$14:$R$123,3,FALSE)*B$65</f>
        <v>33176.88640337166</v>
      </c>
      <c r="T111" s="85">
        <f>VLOOKUP($Q111,Iedz_sk!$B$14:$R$123,4,FALSE)*C$65</f>
        <v>33154.820607862057</v>
      </c>
      <c r="U111" s="85">
        <f>VLOOKUP($Q111,Iedz_sk!$B$14:$R$123,5,FALSE)*D$65</f>
        <v>34391.416459123553</v>
      </c>
      <c r="V111" s="85">
        <f>VLOOKUP($Q111,Iedz_sk!$B$14:$R$123,6,FALSE)*E$65</f>
        <v>34474.453786700251</v>
      </c>
      <c r="W111" s="85">
        <f>VLOOKUP($Q111,Iedz_sk!$B$14:$R$123,7,FALSE)*F$65</f>
        <v>37855.646822699993</v>
      </c>
      <c r="X111" s="85">
        <f>VLOOKUP($Q111,Iedz_sk!$B$14:$R$123,8,FALSE)*G$65</f>
        <v>39816.584968491574</v>
      </c>
      <c r="Y111" s="91">
        <f>VLOOKUP($Q111,Iedz_sk!$B$14:$R$123,9,FALSE)*H$65</f>
        <v>41587.342812048999</v>
      </c>
      <c r="Z111" s="91">
        <f>VLOOKUP($Q111,Iedz_sk!$B$14:$R$123,10,FALSE)*I$65</f>
        <v>39834.500868959782</v>
      </c>
      <c r="AA111" s="91">
        <f>VLOOKUP($Q111,Iedz_sk!$B$14:$R$123,11,FALSE)*J$65</f>
        <v>41914.794369889132</v>
      </c>
      <c r="AB111" s="91">
        <f>VLOOKUP($Q111,Iedz_sk!$B$14:$R$123,16,FALSE)*K$65</f>
        <v>44047.159677638592</v>
      </c>
      <c r="AC111" s="162">
        <f>VLOOKUP($Q111,Iedz_sk!$B$14:$R$123,17,FALSE)*L$65</f>
        <v>45722.716432975896</v>
      </c>
      <c r="AD111" s="163">
        <f>VLOOKUP($Q111,Iedz_sk!$B$14:$Y$123,24,FALSE)*M$65</f>
        <v>55289.633517706956</v>
      </c>
    </row>
    <row r="112" spans="17:30" x14ac:dyDescent="0.35">
      <c r="Q112" s="3" t="s">
        <v>53</v>
      </c>
      <c r="R112" s="3" t="s">
        <v>296</v>
      </c>
      <c r="S112" s="85">
        <f>VLOOKUP($Q112,Iedz_sk!$B$14:$R$123,3,FALSE)*B$65</f>
        <v>25711.447798348905</v>
      </c>
      <c r="T112" s="85">
        <f>VLOOKUP($Q112,Iedz_sk!$B$14:$R$123,4,FALSE)*C$65</f>
        <v>26010.939930249217</v>
      </c>
      <c r="U112" s="85">
        <f>VLOOKUP($Q112,Iedz_sk!$B$14:$R$123,5,FALSE)*D$65</f>
        <v>26829.921135627665</v>
      </c>
      <c r="V112" s="85">
        <f>VLOOKUP($Q112,Iedz_sk!$B$14:$R$123,6,FALSE)*E$65</f>
        <v>27154.011519371805</v>
      </c>
      <c r="W112" s="85">
        <f>VLOOKUP($Q112,Iedz_sk!$B$14:$R$123,7,FALSE)*F$65</f>
        <v>29823.047311759663</v>
      </c>
      <c r="X112" s="85">
        <f>VLOOKUP($Q112,Iedz_sk!$B$14:$R$123,8,FALSE)*G$65</f>
        <v>31485.460811594581</v>
      </c>
      <c r="Y112" s="91">
        <f>VLOOKUP($Q112,Iedz_sk!$B$14:$R$123,9,FALSE)*H$65</f>
        <v>33181.858709296241</v>
      </c>
      <c r="Z112" s="91">
        <f>VLOOKUP($Q112,Iedz_sk!$B$14:$R$123,10,FALSE)*I$65</f>
        <v>31987.293507835559</v>
      </c>
      <c r="AA112" s="91">
        <f>VLOOKUP($Q112,Iedz_sk!$B$14:$R$123,11,FALSE)*J$65</f>
        <v>33714.645549799432</v>
      </c>
      <c r="AB112" s="91">
        <f>VLOOKUP($Q112,Iedz_sk!$B$14:$R$123,16,FALSE)*K$65</f>
        <v>35396.175851437853</v>
      </c>
      <c r="AC112" s="162">
        <f>VLOOKUP($Q112,Iedz_sk!$B$14:$R$123,17,FALSE)*L$65</f>
        <v>36692.461140095766</v>
      </c>
      <c r="AD112" s="163">
        <f>VLOOKUP($Q112,Iedz_sk!$B$14:$Y$123,24,FALSE)*M$65</f>
        <v>43945.084653864033</v>
      </c>
    </row>
    <row r="113" spans="17:30" x14ac:dyDescent="0.35">
      <c r="Q113" s="3" t="s">
        <v>56</v>
      </c>
      <c r="R113" s="3" t="s">
        <v>296</v>
      </c>
      <c r="S113" s="85">
        <f>VLOOKUP($Q113,Iedz_sk!$B$14:$R$123,3,FALSE)*B$65</f>
        <v>71394.648303171343</v>
      </c>
      <c r="T113" s="85">
        <f>VLOOKUP($Q113,Iedz_sk!$B$14:$R$123,4,FALSE)*C$65</f>
        <v>71663.152782629797</v>
      </c>
      <c r="U113" s="85">
        <f>VLOOKUP($Q113,Iedz_sk!$B$14:$R$123,5,FALSE)*D$65</f>
        <v>73186.780744019445</v>
      </c>
      <c r="V113" s="85">
        <f>VLOOKUP($Q113,Iedz_sk!$B$14:$R$123,6,FALSE)*E$65</f>
        <v>73806.888855964629</v>
      </c>
      <c r="W113" s="85">
        <f>VLOOKUP($Q113,Iedz_sk!$B$14:$R$123,7,FALSE)*F$65</f>
        <v>80665.62851154372</v>
      </c>
      <c r="X113" s="85">
        <f>VLOOKUP($Q113,Iedz_sk!$B$14:$R$123,8,FALSE)*G$65</f>
        <v>84899.234400557834</v>
      </c>
      <c r="Y113" s="91">
        <f>VLOOKUP($Q113,Iedz_sk!$B$14:$R$123,9,FALSE)*H$65</f>
        <v>88989.99811104362</v>
      </c>
      <c r="Z113" s="91">
        <f>VLOOKUP($Q113,Iedz_sk!$B$14:$R$123,10,FALSE)*I$65</f>
        <v>84658.23785779388</v>
      </c>
      <c r="AA113" s="91">
        <f>VLOOKUP($Q113,Iedz_sk!$B$14:$R$123,11,FALSE)*J$65</f>
        <v>88991.671196691183</v>
      </c>
      <c r="AB113" s="91">
        <f>VLOOKUP($Q113,Iedz_sk!$B$14:$R$123,16,FALSE)*K$65</f>
        <v>93074.117076982264</v>
      </c>
      <c r="AC113" s="162">
        <f>VLOOKUP($Q113,Iedz_sk!$B$14:$R$123,17,FALSE)*L$65</f>
        <v>96107.17997801314</v>
      </c>
      <c r="AD113" s="163">
        <f>VLOOKUP($Q113,Iedz_sk!$B$14:$Y$123,24,FALSE)*M$65</f>
        <v>111093.43655961895</v>
      </c>
    </row>
    <row r="114" spans="17:30" x14ac:dyDescent="0.35">
      <c r="Q114" s="3" t="s">
        <v>65</v>
      </c>
      <c r="R114" s="3" t="s">
        <v>296</v>
      </c>
      <c r="S114" s="85">
        <f>VLOOKUP($Q114,Iedz_sk!$B$14:$R$123,3,FALSE)*B$65</f>
        <v>51260.973983118551</v>
      </c>
      <c r="T114" s="85">
        <f>VLOOKUP($Q114,Iedz_sk!$B$14:$R$123,4,FALSE)*C$65</f>
        <v>51903.108445291822</v>
      </c>
      <c r="U114" s="85">
        <f>VLOOKUP($Q114,Iedz_sk!$B$14:$R$123,5,FALSE)*D$65</f>
        <v>53789.098601571495</v>
      </c>
      <c r="V114" s="85">
        <f>VLOOKUP($Q114,Iedz_sk!$B$14:$R$123,6,FALSE)*E$65</f>
        <v>54857.8929673803</v>
      </c>
      <c r="W114" s="85">
        <f>VLOOKUP($Q114,Iedz_sk!$B$14:$R$123,7,FALSE)*F$65</f>
        <v>60379.271491632004</v>
      </c>
      <c r="X114" s="85">
        <f>VLOOKUP($Q114,Iedz_sk!$B$14:$R$123,8,FALSE)*G$65</f>
        <v>64389.606395526913</v>
      </c>
      <c r="Y114" s="91">
        <f>VLOOKUP($Q114,Iedz_sk!$B$14:$R$123,9,FALSE)*H$65</f>
        <v>68098.880928210841</v>
      </c>
      <c r="Z114" s="91">
        <f>VLOOKUP($Q114,Iedz_sk!$B$14:$R$123,10,FALSE)*I$65</f>
        <v>66154.706103547651</v>
      </c>
      <c r="AA114" s="91">
        <f>VLOOKUP($Q114,Iedz_sk!$B$14:$R$123,11,FALSE)*J$65</f>
        <v>69941.285365255855</v>
      </c>
      <c r="AB114" s="91">
        <f>VLOOKUP($Q114,Iedz_sk!$B$14:$R$123,16,FALSE)*K$65</f>
        <v>73664.223684427212</v>
      </c>
      <c r="AC114" s="162">
        <f>VLOOKUP($Q114,Iedz_sk!$B$14:$R$123,17,FALSE)*L$65</f>
        <v>76633.107364724608</v>
      </c>
      <c r="AD114" s="163">
        <f>VLOOKUP($Q114,Iedz_sk!$B$14:$Y$123,24,FALSE)*M$65</f>
        <v>94486.854905507513</v>
      </c>
    </row>
    <row r="115" spans="17:30" x14ac:dyDescent="0.35">
      <c r="Q115" s="3" t="s">
        <v>67</v>
      </c>
      <c r="R115" s="3" t="s">
        <v>296</v>
      </c>
      <c r="S115" s="85">
        <f>VLOOKUP($Q115,Iedz_sk!$B$14:$R$123,3,FALSE)*B$65</f>
        <v>58555.968784373661</v>
      </c>
      <c r="T115" s="85">
        <f>VLOOKUP($Q115,Iedz_sk!$B$14:$R$123,4,FALSE)*C$65</f>
        <v>59117.372183767839</v>
      </c>
      <c r="U115" s="85">
        <f>VLOOKUP($Q115,Iedz_sk!$B$14:$R$123,5,FALSE)*D$65</f>
        <v>61165.942024615717</v>
      </c>
      <c r="V115" s="85">
        <f>VLOOKUP($Q115,Iedz_sk!$B$14:$R$123,6,FALSE)*E$65</f>
        <v>61982.294651455661</v>
      </c>
      <c r="W115" s="85">
        <f>VLOOKUP($Q115,Iedz_sk!$B$14:$R$123,7,FALSE)*F$65</f>
        <v>68676.030315348224</v>
      </c>
      <c r="X115" s="85">
        <f>VLOOKUP($Q115,Iedz_sk!$B$14:$R$123,8,FALSE)*G$65</f>
        <v>72487.202194837446</v>
      </c>
      <c r="Y115" s="91">
        <f>VLOOKUP($Q115,Iedz_sk!$B$14:$R$123,9,FALSE)*H$65</f>
        <v>76674.109287339321</v>
      </c>
      <c r="Z115" s="91">
        <f>VLOOKUP($Q115,Iedz_sk!$B$14:$R$123,10,FALSE)*I$65</f>
        <v>72896.586980342312</v>
      </c>
      <c r="AA115" s="91">
        <f>VLOOKUP($Q115,Iedz_sk!$B$14:$R$123,11,FALSE)*J$65</f>
        <v>77194.504409809932</v>
      </c>
      <c r="AB115" s="91">
        <f>VLOOKUP($Q115,Iedz_sk!$B$14:$R$123,16,FALSE)*K$65</f>
        <v>81339.053979952805</v>
      </c>
      <c r="AC115" s="162">
        <f>VLOOKUP($Q115,Iedz_sk!$B$14:$R$123,17,FALSE)*L$65</f>
        <v>84655.823765643087</v>
      </c>
      <c r="AD115" s="163">
        <f>VLOOKUP($Q115,Iedz_sk!$B$14:$Y$123,24,FALSE)*M$65</f>
        <v>104792.12494382962</v>
      </c>
    </row>
    <row r="116" spans="17:30" x14ac:dyDescent="0.35">
      <c r="Q116" s="3" t="s">
        <v>82</v>
      </c>
      <c r="R116" s="3" t="s">
        <v>296</v>
      </c>
      <c r="S116" s="85">
        <f>VLOOKUP($Q116,Iedz_sk!$B$14:$R$123,3,FALSE)*B$65</f>
        <v>43961.718086769251</v>
      </c>
      <c r="T116" s="85">
        <f>VLOOKUP($Q116,Iedz_sk!$B$14:$R$123,4,FALSE)*C$65</f>
        <v>44354.525167715692</v>
      </c>
      <c r="U116" s="85">
        <f>VLOOKUP($Q116,Iedz_sk!$B$14:$R$123,5,FALSE)*D$65</f>
        <v>45890.613559751313</v>
      </c>
      <c r="V116" s="85">
        <f>VLOOKUP($Q116,Iedz_sk!$B$14:$R$123,6,FALSE)*E$65</f>
        <v>46705.473590636342</v>
      </c>
      <c r="W116" s="85">
        <f>VLOOKUP($Q116,Iedz_sk!$B$14:$R$123,7,FALSE)*F$65</f>
        <v>51543.412029597639</v>
      </c>
      <c r="X116" s="85">
        <f>VLOOKUP($Q116,Iedz_sk!$B$14:$R$123,8,FALSE)*G$65</f>
        <v>54774.076271904392</v>
      </c>
      <c r="Y116" s="91">
        <f>VLOOKUP($Q116,Iedz_sk!$B$14:$R$123,9,FALSE)*H$65</f>
        <v>58033.67520756225</v>
      </c>
      <c r="Z116" s="91">
        <f>VLOOKUP($Q116,Iedz_sk!$B$14:$R$123,10,FALSE)*I$65</f>
        <v>55235.790335695427</v>
      </c>
      <c r="AA116" s="91">
        <f>VLOOKUP($Q116,Iedz_sk!$B$14:$R$123,11,FALSE)*J$65</f>
        <v>58841.164107588316</v>
      </c>
      <c r="AB116" s="91">
        <f>VLOOKUP($Q116,Iedz_sk!$B$14:$R$123,16,FALSE)*K$65</f>
        <v>61978.675621562441</v>
      </c>
      <c r="AC116" s="162">
        <f>VLOOKUP($Q116,Iedz_sk!$B$14:$R$123,17,FALSE)*L$65</f>
        <v>64490.008032500285</v>
      </c>
      <c r="AD116" s="163">
        <f>VLOOKUP($Q116,Iedz_sk!$B$14:$Y$123,24,FALSE)*M$65</f>
        <v>79608.75803489385</v>
      </c>
    </row>
    <row r="117" spans="17:30" x14ac:dyDescent="0.35">
      <c r="Q117" s="3" t="s">
        <v>7</v>
      </c>
      <c r="R117" s="3" t="s">
        <v>296</v>
      </c>
      <c r="S117" s="85">
        <f>VLOOKUP($Q117,$A$20:$L$28,2,FALSE)</f>
        <v>287719</v>
      </c>
      <c r="T117" s="85">
        <f>VLOOKUP($Q117,$A$20:$L$28,3,FALSE)</f>
        <v>281803</v>
      </c>
      <c r="U117" s="85">
        <f>VLOOKUP($Q117,$A$20:$L$28,4,FALSE)</f>
        <v>290999</v>
      </c>
      <c r="V117" s="85">
        <f>VLOOKUP($Q117,$A$20:$L$28,5,FALSE)</f>
        <v>286341</v>
      </c>
      <c r="W117" s="85">
        <f>VLOOKUP($Q117,$A$20:$L$28,6,FALSE)</f>
        <v>306159</v>
      </c>
      <c r="X117" s="85">
        <f>VLOOKUP($Q117,$A$20:$L$28,7,FALSE)</f>
        <v>282665</v>
      </c>
      <c r="Y117" s="91">
        <f>VLOOKUP($Q117,$A$20:$L$28,8,FALSE)</f>
        <v>297147.18186110811</v>
      </c>
      <c r="Z117" s="91">
        <f>VLOOKUP($Q117,$A$20:$L$28,9,FALSE)</f>
        <v>286130.4380287262</v>
      </c>
      <c r="AA117" s="91">
        <f>VLOOKUP($Q117,$A$20:$L$28,10,FALSE)</f>
        <v>301295.35124424868</v>
      </c>
      <c r="AB117" s="91">
        <f>VLOOKUP($Q117,$A$20:$L$28,11,FALSE)</f>
        <v>316661.41415770532</v>
      </c>
      <c r="AC117" s="162">
        <f>VLOOKUP($Q117,$A$20:$L$28,12,FALSE)</f>
        <v>328694.54789569811</v>
      </c>
      <c r="AD117" s="163">
        <f>VLOOKUP($Q117,$A$20:$M$28,13,FALSE)</f>
        <v>397720.40295379469</v>
      </c>
    </row>
    <row r="118" spans="17:30" x14ac:dyDescent="0.35">
      <c r="Q118" s="3" t="s">
        <v>86</v>
      </c>
      <c r="R118" s="3" t="s">
        <v>296</v>
      </c>
      <c r="S118" s="85">
        <f>VLOOKUP($Q118,Iedz_sk!$B$14:$R$123,3,FALSE)*B$65</f>
        <v>118939.94736415529</v>
      </c>
      <c r="T118" s="85">
        <f>VLOOKUP($Q118,Iedz_sk!$B$14:$R$123,4,FALSE)*C$65</f>
        <v>120508.99702167721</v>
      </c>
      <c r="U118" s="85">
        <f>VLOOKUP($Q118,Iedz_sk!$B$14:$R$123,5,FALSE)*D$65</f>
        <v>125387.87300170658</v>
      </c>
      <c r="V118" s="85">
        <f>VLOOKUP($Q118,Iedz_sk!$B$14:$R$123,6,FALSE)*E$65</f>
        <v>127646.32708595697</v>
      </c>
      <c r="W118" s="85">
        <f>VLOOKUP($Q118,Iedz_sk!$B$14:$R$123,7,FALSE)*F$65</f>
        <v>139826.53256057671</v>
      </c>
      <c r="X118" s="85">
        <f>VLOOKUP($Q118,Iedz_sk!$B$14:$R$123,8,FALSE)*G$65</f>
        <v>147554.89274100529</v>
      </c>
      <c r="Y118" s="91">
        <f>VLOOKUP($Q118,Iedz_sk!$B$14:$R$123,9,FALSE)*H$65</f>
        <v>155202.83174619102</v>
      </c>
      <c r="Z118" s="91">
        <f>VLOOKUP($Q118,Iedz_sk!$B$14:$R$123,10,FALSE)*I$65</f>
        <v>150928.97270831536</v>
      </c>
      <c r="AA118" s="91">
        <f>VLOOKUP($Q118,Iedz_sk!$B$14:$R$123,11,FALSE)*J$65</f>
        <v>159426.14915337184</v>
      </c>
      <c r="AB118" s="91">
        <f>VLOOKUP($Q118,Iedz_sk!$B$14:$R$123,16,FALSE)*K$65</f>
        <v>168513.80841502876</v>
      </c>
      <c r="AC118" s="162">
        <f>VLOOKUP($Q118,Iedz_sk!$B$14:$R$123,17,FALSE)*L$65</f>
        <v>175958.39663945106</v>
      </c>
      <c r="AD118" s="163">
        <f>VLOOKUP($Q118,Iedz_sk!$B$14:$Y$123,24,FALSE)*M$65</f>
        <v>223795.02035451744</v>
      </c>
    </row>
    <row r="119" spans="17:30" x14ac:dyDescent="0.35">
      <c r="Q119" s="3" t="s">
        <v>87</v>
      </c>
      <c r="R119" s="3" t="s">
        <v>296</v>
      </c>
      <c r="S119" s="85">
        <f>VLOOKUP($Q119,Iedz_sk!$B$14:$R$123,3,FALSE)*B$65</f>
        <v>22937.474892030521</v>
      </c>
      <c r="T119" s="85">
        <f>VLOOKUP($Q119,Iedz_sk!$B$14:$R$123,4,FALSE)*C$65</f>
        <v>23182.420671810145</v>
      </c>
      <c r="U119" s="85">
        <f>VLOOKUP($Q119,Iedz_sk!$B$14:$R$123,5,FALSE)*D$65</f>
        <v>23912.421108491279</v>
      </c>
      <c r="V119" s="85">
        <f>VLOOKUP($Q119,Iedz_sk!$B$14:$R$123,6,FALSE)*E$65</f>
        <v>24275.561979899743</v>
      </c>
      <c r="W119" s="85">
        <f>VLOOKUP($Q119,Iedz_sk!$B$14:$R$123,7,FALSE)*F$65</f>
        <v>26475.232347803998</v>
      </c>
      <c r="X119" s="85">
        <f>VLOOKUP($Q119,Iedz_sk!$B$14:$R$123,8,FALSE)*G$65</f>
        <v>27900.800522642407</v>
      </c>
      <c r="Y119" s="91">
        <f>VLOOKUP($Q119,Iedz_sk!$B$14:$R$123,9,FALSE)*H$65</f>
        <v>29076.562434728134</v>
      </c>
      <c r="Z119" s="91">
        <f>VLOOKUP($Q119,Iedz_sk!$B$14:$R$123,10,FALSE)*I$65</f>
        <v>28176.665186169008</v>
      </c>
      <c r="AA119" s="91">
        <f>VLOOKUP($Q119,Iedz_sk!$B$14:$R$123,11,FALSE)*J$65</f>
        <v>29367.974844042183</v>
      </c>
      <c r="AB119" s="91">
        <f>VLOOKUP($Q119,Iedz_sk!$B$14:$R$123,16,FALSE)*K$65</f>
        <v>30911.528471379581</v>
      </c>
      <c r="AC119" s="162">
        <f>VLOOKUP($Q119,Iedz_sk!$B$14:$R$123,17,FALSE)*L$65</f>
        <v>32143.498232358485</v>
      </c>
      <c r="AD119" s="163">
        <f>VLOOKUP($Q119,Iedz_sk!$B$14:$Y$123,24,FALSE)*M$65</f>
        <v>39448.8362613477</v>
      </c>
    </row>
    <row r="120" spans="17:30" x14ac:dyDescent="0.35">
      <c r="Q120" s="3" t="s">
        <v>91</v>
      </c>
      <c r="R120" s="3" t="s">
        <v>296</v>
      </c>
      <c r="S120" s="85">
        <f>VLOOKUP($Q120,Iedz_sk!$B$14:$R$123,3,FALSE)*B$65</f>
        <v>10077.489897761876</v>
      </c>
      <c r="T120" s="85">
        <f>VLOOKUP($Q120,Iedz_sk!$B$14:$R$123,4,FALSE)*C$65</f>
        <v>10165.953353425662</v>
      </c>
      <c r="U120" s="85">
        <f>VLOOKUP($Q120,Iedz_sk!$B$14:$R$123,5,FALSE)*D$65</f>
        <v>10460.53016058711</v>
      </c>
      <c r="V120" s="85">
        <f>VLOOKUP($Q120,Iedz_sk!$B$14:$R$123,6,FALSE)*E$65</f>
        <v>10963.928229251549</v>
      </c>
      <c r="W120" s="85">
        <f>VLOOKUP($Q120,Iedz_sk!$B$14:$R$123,7,FALSE)*F$65</f>
        <v>11924.906119597321</v>
      </c>
      <c r="X120" s="85">
        <f>VLOOKUP($Q120,Iedz_sk!$B$14:$R$123,8,FALSE)*G$65</f>
        <v>12610.531309668884</v>
      </c>
      <c r="Y120" s="91">
        <f>VLOOKUP($Q120,Iedz_sk!$B$14:$R$123,9,FALSE)*H$65</f>
        <v>13252.625645925818</v>
      </c>
      <c r="Z120" s="91">
        <f>VLOOKUP($Q120,Iedz_sk!$B$14:$R$123,10,FALSE)*I$65</f>
        <v>12750.948614807301</v>
      </c>
      <c r="AA120" s="91">
        <f>VLOOKUP($Q120,Iedz_sk!$B$14:$R$123,11,FALSE)*J$65</f>
        <v>13322.775869688638</v>
      </c>
      <c r="AB120" s="91">
        <f>VLOOKUP($Q120,Iedz_sk!$B$14:$R$123,16,FALSE)*K$65</f>
        <v>14168.373347408078</v>
      </c>
      <c r="AC120" s="162">
        <f>VLOOKUP($Q120,Iedz_sk!$B$14:$R$123,17,FALSE)*L$65</f>
        <v>14887.514970776561</v>
      </c>
      <c r="AD120" s="163">
        <f>VLOOKUP($Q120,Iedz_sk!$B$14:$Y$123,24,FALSE)*M$65</f>
        <v>19888.514787335029</v>
      </c>
    </row>
    <row r="121" spans="17:30" x14ac:dyDescent="0.35">
      <c r="Q121" s="3" t="s">
        <v>112</v>
      </c>
      <c r="R121" s="3" t="s">
        <v>296</v>
      </c>
      <c r="S121" s="85">
        <f>VLOOKUP($Q121,Iedz_sk!$B$14:$R$123,3,FALSE)*B$65</f>
        <v>8807.6835596929377</v>
      </c>
      <c r="T121" s="85">
        <f>VLOOKUP($Q121,Iedz_sk!$B$14:$R$123,4,FALSE)*C$65</f>
        <v>8947.4466122318463</v>
      </c>
      <c r="U121" s="85">
        <f>VLOOKUP($Q121,Iedz_sk!$B$14:$R$123,5,FALSE)*D$65</f>
        <v>9274.1417001851296</v>
      </c>
      <c r="V121" s="85">
        <f>VLOOKUP($Q121,Iedz_sk!$B$14:$R$123,6,FALSE)*E$65</f>
        <v>9376.4776526656296</v>
      </c>
      <c r="W121" s="85">
        <f>VLOOKUP($Q121,Iedz_sk!$B$14:$R$123,7,FALSE)*F$65</f>
        <v>10410.033325923339</v>
      </c>
      <c r="X121" s="85">
        <f>VLOOKUP($Q121,Iedz_sk!$B$14:$R$123,8,FALSE)*G$65</f>
        <v>10911.612508227383</v>
      </c>
      <c r="Y121" s="91">
        <f>VLOOKUP($Q121,Iedz_sk!$B$14:$R$123,9,FALSE)*H$65</f>
        <v>11467.167541825755</v>
      </c>
      <c r="Z121" s="91">
        <f>VLOOKUP($Q121,Iedz_sk!$B$14:$R$123,10,FALSE)*I$65</f>
        <v>11175.40036642594</v>
      </c>
      <c r="AA121" s="91">
        <f>VLOOKUP($Q121,Iedz_sk!$B$14:$R$123,11,FALSE)*J$65</f>
        <v>11534.130738121357</v>
      </c>
      <c r="AB121" s="91">
        <f>VLOOKUP($Q121,Iedz_sk!$B$14:$R$123,16,FALSE)*K$65</f>
        <v>12194.845557130067</v>
      </c>
      <c r="AC121" s="162">
        <f>VLOOKUP($Q121,Iedz_sk!$B$14:$R$123,17,FALSE)*L$65</f>
        <v>12744.61508861933</v>
      </c>
      <c r="AD121" s="163">
        <f>VLOOKUP($Q121,Iedz_sk!$B$14:$Y$123,24,FALSE)*M$65</f>
        <v>16278.388340789068</v>
      </c>
    </row>
    <row r="122" spans="17:30" x14ac:dyDescent="0.35">
      <c r="Q122" s="3" t="s">
        <v>117</v>
      </c>
      <c r="R122" s="3" t="s">
        <v>296</v>
      </c>
      <c r="S122" s="85">
        <f>VLOOKUP($Q122,Iedz_sk!$B$14:$R$123,3,FALSE)*B$65</f>
        <v>23227.229358435514</v>
      </c>
      <c r="T122" s="85">
        <f>VLOOKUP($Q122,Iedz_sk!$B$14:$R$123,4,FALSE)*C$65</f>
        <v>23375.974089183892</v>
      </c>
      <c r="U122" s="85">
        <f>VLOOKUP($Q122,Iedz_sk!$B$14:$R$123,5,FALSE)*D$65</f>
        <v>23820.095158265442</v>
      </c>
      <c r="V122" s="85">
        <f>VLOOKUP($Q122,Iedz_sk!$B$14:$R$123,6,FALSE)*E$65</f>
        <v>23979.110366199966</v>
      </c>
      <c r="W122" s="85">
        <f>VLOOKUP($Q122,Iedz_sk!$B$14:$R$123,7,FALSE)*F$65</f>
        <v>26270.374105243103</v>
      </c>
      <c r="X122" s="85">
        <f>VLOOKUP($Q122,Iedz_sk!$B$14:$R$123,8,FALSE)*G$65</f>
        <v>27632.242911417979</v>
      </c>
      <c r="Y122" s="91">
        <f>VLOOKUP($Q122,Iedz_sk!$B$14:$R$123,9,FALSE)*H$65</f>
        <v>28894.244529732001</v>
      </c>
      <c r="Z122" s="91">
        <f>VLOOKUP($Q122,Iedz_sk!$B$14:$R$123,10,FALSE)*I$65</f>
        <v>27791.938288308444</v>
      </c>
      <c r="AA122" s="91">
        <f>VLOOKUP($Q122,Iedz_sk!$B$14:$R$123,11,FALSE)*J$65</f>
        <v>29433.733856232153</v>
      </c>
      <c r="AB122" s="91">
        <f>VLOOKUP($Q122,Iedz_sk!$B$14:$R$123,16,FALSE)*K$65</f>
        <v>30784.204097813257</v>
      </c>
      <c r="AC122" s="162">
        <f>VLOOKUP($Q122,Iedz_sk!$B$14:$R$123,17,FALSE)*L$65</f>
        <v>31790.107725476417</v>
      </c>
      <c r="AD122" s="163">
        <f>VLOOKUP($Q122,Iedz_sk!$B$14:$Y$123,24,FALSE)*M$65</f>
        <v>36746.711314993598</v>
      </c>
    </row>
    <row r="123" spans="17:30" x14ac:dyDescent="0.35">
      <c r="Q123" s="3" t="s">
        <v>118</v>
      </c>
      <c r="R123" s="3" t="s">
        <v>296</v>
      </c>
      <c r="S123" s="85">
        <f>VLOOKUP($Q123,Iedz_sk!$B$14:$R$123,3,FALSE)*B$65</f>
        <v>26657.410909259324</v>
      </c>
      <c r="T123" s="85">
        <f>VLOOKUP($Q123,Iedz_sk!$B$14:$R$123,4,FALSE)*C$65</f>
        <v>26890.728191038976</v>
      </c>
      <c r="U123" s="85">
        <f>VLOOKUP($Q123,Iedz_sk!$B$14:$R$123,5,FALSE)*D$65</f>
        <v>27817.808803044099</v>
      </c>
      <c r="V123" s="85">
        <f>VLOOKUP($Q123,Iedz_sk!$B$14:$R$123,6,FALSE)*E$65</f>
        <v>28229.843988443587</v>
      </c>
      <c r="W123" s="85">
        <f>VLOOKUP($Q123,Iedz_sk!$B$14:$R$123,7,FALSE)*F$65</f>
        <v>31154.625888405477</v>
      </c>
      <c r="X123" s="85">
        <f>VLOOKUP($Q123,Iedz_sk!$B$14:$R$123,8,FALSE)*G$65</f>
        <v>33038.424389544547</v>
      </c>
      <c r="Y123" s="91">
        <f>VLOOKUP($Q123,Iedz_sk!$B$14:$R$123,9,FALSE)*H$65</f>
        <v>34715.843840987844</v>
      </c>
      <c r="Z123" s="91">
        <f>VLOOKUP($Q123,Iedz_sk!$B$14:$R$123,10,FALSE)*I$65</f>
        <v>33623.909517782093</v>
      </c>
      <c r="AA123" s="91">
        <f>VLOOKUP($Q123,Iedz_sk!$B$14:$R$123,11,FALSE)*J$65</f>
        <v>35503.290681366714</v>
      </c>
      <c r="AB123" s="91">
        <f>VLOOKUP($Q123,Iedz_sk!$B$14:$R$123,16,FALSE)*K$65</f>
        <v>37440.439404808261</v>
      </c>
      <c r="AC123" s="162">
        <f>VLOOKUP($Q123,Iedz_sk!$B$14:$R$123,17,FALSE)*L$65</f>
        <v>38993.258908306692</v>
      </c>
      <c r="AD123" s="163">
        <f>VLOOKUP($Q123,Iedz_sk!$B$14:$Y$123,24,FALSE)*M$65</f>
        <v>48583.550148820061</v>
      </c>
    </row>
    <row r="124" spans="17:30" x14ac:dyDescent="0.35">
      <c r="Q124" s="3" t="s">
        <v>119</v>
      </c>
      <c r="R124" s="3" t="s">
        <v>296</v>
      </c>
      <c r="S124" s="85">
        <f>VLOOKUP($Q124,Iedz_sk!$B$14:$R$123,3,FALSE)*B$65</f>
        <v>13878.386721780309</v>
      </c>
      <c r="T124" s="85">
        <f>VLOOKUP($Q124,Iedz_sk!$B$14:$R$123,4,FALSE)*C$65</f>
        <v>13931.44710960583</v>
      </c>
      <c r="U124" s="85">
        <f>VLOOKUP($Q124,Iedz_sk!$B$14:$R$123,5,FALSE)*D$65</f>
        <v>14218.196334778597</v>
      </c>
      <c r="V124" s="85">
        <f>VLOOKUP($Q124,Iedz_sk!$B$14:$R$123,6,FALSE)*E$65</f>
        <v>14291.836666913598</v>
      </c>
      <c r="W124" s="85">
        <f>VLOOKUP($Q124,Iedz_sk!$B$14:$R$123,7,FALSE)*F$65</f>
        <v>15358.977185683891</v>
      </c>
      <c r="X124" s="85">
        <f>VLOOKUP($Q124,Iedz_sk!$B$14:$R$123,8,FALSE)*G$65</f>
        <v>16148.485927103768</v>
      </c>
      <c r="Y124" s="91">
        <f>VLOOKUP($Q124,Iedz_sk!$B$14:$R$123,9,FALSE)*H$65</f>
        <v>16641.22394912981</v>
      </c>
      <c r="Z124" s="91">
        <f>VLOOKUP($Q124,Iedz_sk!$B$14:$R$123,10,FALSE)*I$65</f>
        <v>16005.860306230814</v>
      </c>
      <c r="AA124" s="91">
        <f>VLOOKUP($Q124,Iedz_sk!$B$14:$R$123,11,FALSE)*J$65</f>
        <v>16761.972207224255</v>
      </c>
      <c r="AB124" s="91">
        <f>VLOOKUP($Q124,Iedz_sk!$B$14:$R$123,16,FALSE)*K$65</f>
        <v>17535.395670606402</v>
      </c>
      <c r="AC124" s="162">
        <f>VLOOKUP($Q124,Iedz_sk!$B$14:$R$123,17,FALSE)*L$65</f>
        <v>18120.662161399756</v>
      </c>
      <c r="AD124" s="163">
        <f>VLOOKUP($Q124,Iedz_sk!$B$14:$Y$123,24,FALSE)*M$65</f>
        <v>21026.251606852547</v>
      </c>
    </row>
    <row r="125" spans="17:30" x14ac:dyDescent="0.35">
      <c r="X125" s="41"/>
      <c r="Y125" s="41"/>
      <c r="Z125" s="41"/>
      <c r="AA125" s="41"/>
      <c r="AB125" s="41"/>
      <c r="AC125" s="41"/>
      <c r="AD125" s="41"/>
    </row>
    <row r="126" spans="17:30" x14ac:dyDescent="0.35">
      <c r="X126" s="41"/>
      <c r="Y126" s="41"/>
      <c r="Z126" s="41"/>
      <c r="AA126" s="41"/>
      <c r="AB126" s="41"/>
      <c r="AC126" s="41"/>
      <c r="AD126" s="41"/>
    </row>
    <row r="127" spans="17:30" x14ac:dyDescent="0.35">
      <c r="X127" s="41"/>
      <c r="Y127" s="41"/>
      <c r="Z127" s="41"/>
      <c r="AA127" s="41"/>
      <c r="AB127" s="41"/>
      <c r="AC127" s="41"/>
      <c r="AD127" s="41"/>
    </row>
    <row r="128" spans="17:30" x14ac:dyDescent="0.35">
      <c r="X128" s="41"/>
      <c r="Y128" s="41"/>
      <c r="Z128" s="41"/>
      <c r="AA128" s="41"/>
      <c r="AB128" s="41"/>
      <c r="AC128" s="41"/>
      <c r="AD128" s="41"/>
    </row>
    <row r="129" spans="17:30" hidden="1" x14ac:dyDescent="0.35">
      <c r="X129" s="41"/>
      <c r="Y129" s="41"/>
      <c r="Z129" s="41"/>
      <c r="AA129" s="41"/>
      <c r="AB129" s="41"/>
      <c r="AC129" s="41"/>
      <c r="AD129" s="41"/>
    </row>
    <row r="130" spans="17:30" hidden="1" x14ac:dyDescent="0.35">
      <c r="Q130" s="3"/>
      <c r="R130" s="3" t="s">
        <v>390</v>
      </c>
      <c r="S130" s="3">
        <f t="shared" ref="S130:AC130" si="47">B5</f>
        <v>22749010</v>
      </c>
      <c r="T130" s="3">
        <f t="shared" si="47"/>
        <v>23625802</v>
      </c>
      <c r="U130" s="3">
        <f t="shared" si="47"/>
        <v>24572126</v>
      </c>
      <c r="V130" s="3">
        <f t="shared" si="47"/>
        <v>25371324</v>
      </c>
      <c r="W130" s="3">
        <f t="shared" si="47"/>
        <v>26984433</v>
      </c>
      <c r="X130" s="3">
        <f t="shared" si="47"/>
        <v>29153556</v>
      </c>
      <c r="Y130" s="3">
        <f t="shared" si="47"/>
        <v>30647222</v>
      </c>
      <c r="Z130" s="3">
        <f t="shared" si="47"/>
        <v>29510975</v>
      </c>
      <c r="AA130" s="3">
        <f t="shared" si="47"/>
        <v>31075056.674999997</v>
      </c>
      <c r="AB130" s="3">
        <f t="shared" si="47"/>
        <v>32659884.565424994</v>
      </c>
      <c r="AC130" s="3">
        <f t="shared" si="47"/>
        <v>33900960.178911142</v>
      </c>
      <c r="AD130" s="41"/>
    </row>
    <row r="131" spans="17:30" hidden="1" x14ac:dyDescent="0.35">
      <c r="Q131" s="3"/>
      <c r="R131" s="3"/>
      <c r="S131" s="3"/>
      <c r="T131" s="3"/>
      <c r="U131" s="3"/>
      <c r="V131" s="3"/>
      <c r="W131" s="3"/>
      <c r="X131" s="3"/>
      <c r="Y131" s="3"/>
      <c r="Z131" s="3"/>
      <c r="AA131" s="3"/>
      <c r="AB131" s="3"/>
      <c r="AC131" s="3"/>
      <c r="AD131" s="41"/>
    </row>
    <row r="132" spans="17:30" ht="21" hidden="1" x14ac:dyDescent="0.5">
      <c r="Q132" s="144" t="s">
        <v>330</v>
      </c>
      <c r="R132" s="3"/>
      <c r="S132" s="3"/>
      <c r="T132" s="3"/>
      <c r="U132" s="3"/>
      <c r="V132" s="3"/>
      <c r="W132" s="3"/>
      <c r="X132" s="3"/>
      <c r="Y132" s="3"/>
      <c r="Z132" s="3"/>
      <c r="AA132" s="3"/>
      <c r="AB132" s="3"/>
      <c r="AC132" s="3"/>
      <c r="AD132" s="41"/>
    </row>
    <row r="133" spans="17:30" hidden="1" x14ac:dyDescent="0.35">
      <c r="R133" s="3"/>
      <c r="S133" s="19" t="str">
        <f t="shared" ref="S133:AC133" si="48">S4</f>
        <v>2013</v>
      </c>
      <c r="T133" s="19" t="str">
        <f t="shared" si="48"/>
        <v>2014</v>
      </c>
      <c r="U133" s="19" t="str">
        <f t="shared" si="48"/>
        <v>2015</v>
      </c>
      <c r="V133" s="19" t="str">
        <f t="shared" si="48"/>
        <v>2016</v>
      </c>
      <c r="W133" s="19" t="str">
        <f t="shared" si="48"/>
        <v>2017</v>
      </c>
      <c r="X133" s="19" t="str">
        <f t="shared" si="48"/>
        <v>2018</v>
      </c>
      <c r="Y133" s="19" t="str">
        <f t="shared" si="48"/>
        <v>2019</v>
      </c>
      <c r="Z133" s="19" t="str">
        <f t="shared" si="48"/>
        <v>2020</v>
      </c>
      <c r="AA133" s="19" t="str">
        <f t="shared" si="48"/>
        <v>2021</v>
      </c>
      <c r="AB133" s="19" t="str">
        <f t="shared" si="48"/>
        <v>2022</v>
      </c>
      <c r="AC133" s="19" t="str">
        <f t="shared" si="48"/>
        <v>2023</v>
      </c>
      <c r="AD133" s="41"/>
    </row>
    <row r="134" spans="17:30" hidden="1" x14ac:dyDescent="0.35">
      <c r="Q134" s="3"/>
      <c r="R134" s="3" t="s">
        <v>331</v>
      </c>
      <c r="S134" s="85">
        <v>704387.45539999998</v>
      </c>
      <c r="T134" s="85">
        <v>726012.32699999982</v>
      </c>
      <c r="U134" s="85">
        <v>798114.07250000013</v>
      </c>
      <c r="V134" s="85">
        <v>802473.58310000016</v>
      </c>
      <c r="W134" s="85">
        <v>798060</v>
      </c>
      <c r="X134" s="85">
        <v>785069.37971000001</v>
      </c>
      <c r="Y134" s="85">
        <v>840942.11399999994</v>
      </c>
      <c r="Z134" s="85">
        <v>837917.36022962502</v>
      </c>
      <c r="AA134" s="85">
        <v>852379.95240941155</v>
      </c>
      <c r="AB134" s="85">
        <v>864753.7634254389</v>
      </c>
      <c r="AC134" s="85">
        <v>874646.13336531189</v>
      </c>
      <c r="AD134" s="41"/>
    </row>
    <row r="135" spans="17:30" hidden="1" x14ac:dyDescent="0.35">
      <c r="Q135" s="11"/>
      <c r="R135" s="11" t="s">
        <v>332</v>
      </c>
      <c r="S135" s="85">
        <f>SUM(S136:S253)</f>
        <v>742533.99259973818</v>
      </c>
      <c r="T135" s="85">
        <f t="shared" ref="T135:AC135" si="49">SUM(T136:T253)</f>
        <v>752309.41200053494</v>
      </c>
      <c r="U135" s="85">
        <f t="shared" si="49"/>
        <v>768559.8310862598</v>
      </c>
      <c r="V135" s="85">
        <f t="shared" si="49"/>
        <v>781572.81845729926</v>
      </c>
      <c r="W135" s="85">
        <f t="shared" si="49"/>
        <v>804883.34574697446</v>
      </c>
      <c r="X135" s="85">
        <f>SUM(X136:X253)</f>
        <v>832111.01703138463</v>
      </c>
      <c r="Y135" s="85">
        <f t="shared" si="49"/>
        <v>868195.9685855381</v>
      </c>
      <c r="Z135" s="85">
        <f t="shared" si="49"/>
        <v>836008.08994265227</v>
      </c>
      <c r="AA135" s="85">
        <f>SUM(AA136:AA253)</f>
        <v>851223.14306336618</v>
      </c>
      <c r="AB135" s="85">
        <f t="shared" si="49"/>
        <v>863652.17635948292</v>
      </c>
      <c r="AC135" s="85">
        <f t="shared" si="49"/>
        <v>871286.23795254412</v>
      </c>
      <c r="AD135" s="41"/>
    </row>
    <row r="136" spans="17:30" hidden="1" x14ac:dyDescent="0.35">
      <c r="Q136" s="3" t="str">
        <f t="shared" ref="Q136:Q167" si="50">Q6</f>
        <v>Rīga</v>
      </c>
      <c r="R136" s="11"/>
      <c r="S136" s="85">
        <f t="shared" ref="S136:S167" si="51">((-0.0000000006)*$S$130 + 0.0461)*S6</f>
        <v>398681.70246876398</v>
      </c>
      <c r="T136" s="85">
        <f t="shared" ref="T136:T167" si="52">((-0.0000000006)*$T$130 + 0.0461)*T6</f>
        <v>406461.66445632925</v>
      </c>
      <c r="U136" s="85">
        <f t="shared" ref="U136:U167" si="53">((-0.0000000006)*$U$130 + 0.0461)*U6</f>
        <v>418908.4036452336</v>
      </c>
      <c r="V136" s="85">
        <f t="shared" ref="V136:V167" si="54">((-0.0000000006)*$V$130 + 0.0461)*V6</f>
        <v>424928.15118488326</v>
      </c>
      <c r="W136" s="85">
        <f t="shared" ref="W136:W167" si="55">((-0.0000000006)*$W$130 + 0.0461)*W6</f>
        <v>433181.63997367123</v>
      </c>
      <c r="X136" s="85">
        <f t="shared" ref="X136:X167" si="56">((-0.0000000006)*$X$130 + 0.0461)*X6</f>
        <v>469039.41532520804</v>
      </c>
      <c r="Y136" s="85">
        <f t="shared" ref="Y136:Z155" si="57">((-0.0000000006)*$Z$130 + 0.0461)*Y6</f>
        <v>489374.21186049323</v>
      </c>
      <c r="Z136" s="85">
        <f t="shared" si="57"/>
        <v>471230.64308601024</v>
      </c>
      <c r="AA136" s="85">
        <f t="shared" ref="AA136:AA167" si="58">((-0.0000000006)*$AA$130 + 0.0461)*AA6</f>
        <v>479805.44818789844</v>
      </c>
      <c r="AB136" s="85">
        <f t="shared" ref="AB136:AB167" si="59">((-0.0000000006)*$AB$130 + 0.0461)*AB6</f>
        <v>486810.05364355963</v>
      </c>
      <c r="AC136" s="85">
        <f t="shared" ref="AC136:AC167" si="60">((-0.0000000006)*$AC$130 + 0.0461)*AC6</f>
        <v>491111.92575680139</v>
      </c>
      <c r="AD136" s="41"/>
    </row>
    <row r="137" spans="17:30" hidden="1" x14ac:dyDescent="0.35">
      <c r="Q137" s="3" t="str">
        <f t="shared" si="50"/>
        <v>Alojas novads</v>
      </c>
      <c r="R137" s="3"/>
      <c r="S137" s="85">
        <f t="shared" si="51"/>
        <v>1653.2925815741053</v>
      </c>
      <c r="T137" s="85">
        <f t="shared" si="52"/>
        <v>1571.4818291363381</v>
      </c>
      <c r="U137" s="85">
        <f t="shared" si="53"/>
        <v>1609.6682952402448</v>
      </c>
      <c r="V137" s="85">
        <f t="shared" si="54"/>
        <v>1666.2353720971651</v>
      </c>
      <c r="W137" s="85">
        <f t="shared" si="55"/>
        <v>1761.9761836970929</v>
      </c>
      <c r="X137" s="85">
        <f t="shared" si="56"/>
        <v>1683.4854245931454</v>
      </c>
      <c r="Y137" s="85">
        <f t="shared" si="57"/>
        <v>1721.0948206495771</v>
      </c>
      <c r="Z137" s="85">
        <f t="shared" si="57"/>
        <v>1634.0201372999377</v>
      </c>
      <c r="AA137" s="85">
        <f t="shared" si="58"/>
        <v>1609.9180689526627</v>
      </c>
      <c r="AB137" s="85">
        <f t="shared" si="59"/>
        <v>1606.5754762055506</v>
      </c>
      <c r="AC137" s="85">
        <f t="shared" si="60"/>
        <v>1593.8885093428366</v>
      </c>
      <c r="AD137" s="41"/>
    </row>
    <row r="138" spans="17:30" hidden="1" x14ac:dyDescent="0.35">
      <c r="Q138" s="3" t="str">
        <f t="shared" si="50"/>
        <v>Ādažu novads</v>
      </c>
      <c r="R138" s="3"/>
      <c r="S138" s="85">
        <f t="shared" si="51"/>
        <v>3210.5115900030537</v>
      </c>
      <c r="T138" s="85">
        <f t="shared" si="52"/>
        <v>3162.1130044610513</v>
      </c>
      <c r="U138" s="85">
        <f t="shared" si="53"/>
        <v>3352.6171253263824</v>
      </c>
      <c r="V138" s="85">
        <f t="shared" si="54"/>
        <v>3586.7173360504326</v>
      </c>
      <c r="W138" s="85">
        <f t="shared" si="55"/>
        <v>3952.9392543340214</v>
      </c>
      <c r="X138" s="85">
        <f t="shared" si="56"/>
        <v>4023.0985018482352</v>
      </c>
      <c r="Y138" s="85">
        <f t="shared" si="57"/>
        <v>4234.3393308897039</v>
      </c>
      <c r="Z138" s="85">
        <f t="shared" si="57"/>
        <v>4081.6954283364335</v>
      </c>
      <c r="AA138" s="85">
        <f t="shared" si="58"/>
        <v>4211.4316918797085</v>
      </c>
      <c r="AB138" s="85">
        <f t="shared" si="59"/>
        <v>4368.4208176338198</v>
      </c>
      <c r="AC138" s="85">
        <f t="shared" si="60"/>
        <v>4503.606266789875</v>
      </c>
      <c r="AD138" s="41"/>
    </row>
    <row r="139" spans="17:30" hidden="1" x14ac:dyDescent="0.35">
      <c r="Q139" s="3" t="str">
        <f t="shared" si="50"/>
        <v>Babītes novads</v>
      </c>
      <c r="R139" s="3"/>
      <c r="S139" s="85">
        <f t="shared" si="51"/>
        <v>3026.9538029012147</v>
      </c>
      <c r="T139" s="85">
        <f t="shared" si="52"/>
        <v>2974.3258676460168</v>
      </c>
      <c r="U139" s="85">
        <f t="shared" si="53"/>
        <v>3154.9498586708805</v>
      </c>
      <c r="V139" s="85">
        <f t="shared" si="54"/>
        <v>3348.4889611075164</v>
      </c>
      <c r="W139" s="85">
        <f t="shared" si="55"/>
        <v>3726.1101364327865</v>
      </c>
      <c r="X139" s="85">
        <f t="shared" si="56"/>
        <v>3723.0927659271483</v>
      </c>
      <c r="Y139" s="85">
        <f t="shared" si="57"/>
        <v>3978.9630583656744</v>
      </c>
      <c r="Z139" s="85">
        <f t="shared" si="57"/>
        <v>3877.5753420257865</v>
      </c>
      <c r="AA139" s="85">
        <f t="shared" si="58"/>
        <v>4005.9178144934945</v>
      </c>
      <c r="AB139" s="85">
        <f t="shared" si="59"/>
        <v>4115.0371854434588</v>
      </c>
      <c r="AC139" s="85">
        <f t="shared" si="60"/>
        <v>4202.8033720462317</v>
      </c>
      <c r="AD139" s="41"/>
    </row>
    <row r="140" spans="17:30" hidden="1" x14ac:dyDescent="0.35">
      <c r="Q140" s="3" t="str">
        <f t="shared" si="50"/>
        <v>Baldones novads</v>
      </c>
      <c r="R140" s="3"/>
      <c r="S140" s="85">
        <f t="shared" si="51"/>
        <v>1741.0949199451757</v>
      </c>
      <c r="T140" s="85">
        <f t="shared" si="52"/>
        <v>1667.8462809230002</v>
      </c>
      <c r="U140" s="85">
        <f t="shared" si="53"/>
        <v>1749.7094369261463</v>
      </c>
      <c r="V140" s="85">
        <f t="shared" si="54"/>
        <v>1845.8438894003368</v>
      </c>
      <c r="W140" s="85">
        <f t="shared" si="55"/>
        <v>1978.4948871482716</v>
      </c>
      <c r="X140" s="85">
        <f t="shared" si="56"/>
        <v>1973.0593063874794</v>
      </c>
      <c r="Y140" s="85">
        <f t="shared" si="57"/>
        <v>2032.6018313848567</v>
      </c>
      <c r="Z140" s="85">
        <f t="shared" si="57"/>
        <v>1896.4097984224479</v>
      </c>
      <c r="AA140" s="85">
        <f t="shared" si="58"/>
        <v>1939.7375671496018</v>
      </c>
      <c r="AB140" s="85">
        <f t="shared" si="59"/>
        <v>1983.2072270578899</v>
      </c>
      <c r="AC140" s="85">
        <f t="shared" si="60"/>
        <v>2016.1130603793395</v>
      </c>
      <c r="AD140" s="41"/>
    </row>
    <row r="141" spans="17:30" hidden="1" x14ac:dyDescent="0.35">
      <c r="Q141" s="3" t="str">
        <f t="shared" si="50"/>
        <v>Carnikavas novads</v>
      </c>
      <c r="R141" s="3"/>
      <c r="S141" s="85">
        <f t="shared" si="51"/>
        <v>2156.8835295502081</v>
      </c>
      <c r="T141" s="85">
        <f t="shared" si="52"/>
        <v>2096.5445472046899</v>
      </c>
      <c r="U141" s="85">
        <f t="shared" si="53"/>
        <v>2190.7585498219737</v>
      </c>
      <c r="V141" s="85">
        <f t="shared" si="54"/>
        <v>2337.2964168219182</v>
      </c>
      <c r="W141" s="85">
        <f t="shared" si="55"/>
        <v>3068.8212152417077</v>
      </c>
      <c r="X141" s="85">
        <f t="shared" si="56"/>
        <v>3102.9370240471098</v>
      </c>
      <c r="Y141" s="85">
        <f t="shared" si="57"/>
        <v>3248.1482813900657</v>
      </c>
      <c r="Z141" s="85">
        <f t="shared" si="57"/>
        <v>3217.1868274913404</v>
      </c>
      <c r="AA141" s="85">
        <f t="shared" si="58"/>
        <v>3316.0038101657715</v>
      </c>
      <c r="AB141" s="85">
        <f t="shared" si="59"/>
        <v>3367.5735952052269</v>
      </c>
      <c r="AC141" s="85">
        <f t="shared" si="60"/>
        <v>3400.1732089985621</v>
      </c>
      <c r="AD141" s="41"/>
    </row>
    <row r="142" spans="17:30" hidden="1" x14ac:dyDescent="0.35">
      <c r="Q142" s="3" t="str">
        <f t="shared" si="50"/>
        <v>Engures novads</v>
      </c>
      <c r="R142" s="3"/>
      <c r="S142" s="85">
        <f t="shared" si="51"/>
        <v>2363.6643989023673</v>
      </c>
      <c r="T142" s="85">
        <f t="shared" si="52"/>
        <v>2261.1671523402383</v>
      </c>
      <c r="U142" s="85">
        <f t="shared" si="53"/>
        <v>2319.2100797821449</v>
      </c>
      <c r="V142" s="85">
        <f t="shared" si="54"/>
        <v>2484.1868740470927</v>
      </c>
      <c r="W142" s="85">
        <f t="shared" si="55"/>
        <v>2660.4551572019845</v>
      </c>
      <c r="X142" s="85">
        <f t="shared" si="56"/>
        <v>2546.8112833588611</v>
      </c>
      <c r="Y142" s="85">
        <f t="shared" si="57"/>
        <v>2622.160445974539</v>
      </c>
      <c r="Z142" s="85">
        <f t="shared" si="57"/>
        <v>2549.3821852535657</v>
      </c>
      <c r="AA142" s="85">
        <f t="shared" si="58"/>
        <v>2545.5939023904161</v>
      </c>
      <c r="AB142" s="85">
        <f t="shared" si="59"/>
        <v>2556.310978836088</v>
      </c>
      <c r="AC142" s="85">
        <f t="shared" si="60"/>
        <v>2551.6889461424098</v>
      </c>
      <c r="AD142" s="41"/>
    </row>
    <row r="143" spans="17:30" hidden="1" x14ac:dyDescent="0.35">
      <c r="Q143" s="3" t="str">
        <f t="shared" si="50"/>
        <v>Garkalnes novads</v>
      </c>
      <c r="R143" s="3"/>
      <c r="S143" s="85">
        <f t="shared" si="51"/>
        <v>2503.0028924042831</v>
      </c>
      <c r="T143" s="85">
        <f t="shared" si="52"/>
        <v>2414.3619218472395</v>
      </c>
      <c r="U143" s="85">
        <f t="shared" si="53"/>
        <v>2529.7546927995691</v>
      </c>
      <c r="V143" s="85">
        <f t="shared" si="54"/>
        <v>2707.4194714542605</v>
      </c>
      <c r="W143" s="85">
        <f t="shared" si="55"/>
        <v>2990.3884196037807</v>
      </c>
      <c r="X143" s="85">
        <f t="shared" si="56"/>
        <v>3001.4962356421383</v>
      </c>
      <c r="Y143" s="85">
        <f t="shared" si="57"/>
        <v>3180.86574088519</v>
      </c>
      <c r="Z143" s="85">
        <f t="shared" si="57"/>
        <v>3182.2250826042227</v>
      </c>
      <c r="AA143" s="85">
        <f t="shared" si="58"/>
        <v>3356.9641150174434</v>
      </c>
      <c r="AB143" s="85">
        <f t="shared" si="59"/>
        <v>3432.4601047360916</v>
      </c>
      <c r="AC143" s="85">
        <f t="shared" si="60"/>
        <v>3489.3135790262513</v>
      </c>
      <c r="AD143" s="41"/>
    </row>
    <row r="144" spans="17:30" hidden="1" x14ac:dyDescent="0.35">
      <c r="Q144" s="3" t="str">
        <f t="shared" si="50"/>
        <v>Ikšķiles novads</v>
      </c>
      <c r="R144" s="3"/>
      <c r="S144" s="85">
        <f t="shared" si="51"/>
        <v>2854.8484947173411</v>
      </c>
      <c r="T144" s="85">
        <f t="shared" si="52"/>
        <v>2833.4855150347416</v>
      </c>
      <c r="U144" s="85">
        <f t="shared" si="53"/>
        <v>2998.4901003735285</v>
      </c>
      <c r="V144" s="85">
        <f t="shared" si="54"/>
        <v>3193.0781757370301</v>
      </c>
      <c r="W144" s="85">
        <f t="shared" si="55"/>
        <v>3463.1945679563551</v>
      </c>
      <c r="X144" s="85">
        <f t="shared" si="56"/>
        <v>3468.7713566990815</v>
      </c>
      <c r="Y144" s="85">
        <f t="shared" si="57"/>
        <v>3608.7232222172984</v>
      </c>
      <c r="Z144" s="85">
        <f t="shared" si="57"/>
        <v>3450.2651267387923</v>
      </c>
      <c r="AA144" s="85">
        <f t="shared" si="58"/>
        <v>3550.0118126661919</v>
      </c>
      <c r="AB144" s="85">
        <f t="shared" si="59"/>
        <v>3651.769257061082</v>
      </c>
      <c r="AC144" s="85">
        <f t="shared" si="60"/>
        <v>3734.7247212012471</v>
      </c>
      <c r="AD144" s="41"/>
    </row>
    <row r="145" spans="17:30" hidden="1" x14ac:dyDescent="0.35">
      <c r="Q145" s="3" t="str">
        <f t="shared" si="50"/>
        <v>Inčukalna novads</v>
      </c>
      <c r="R145" s="3"/>
      <c r="S145" s="85">
        <f t="shared" si="51"/>
        <v>2499.185399431628</v>
      </c>
      <c r="T145" s="85">
        <f t="shared" si="52"/>
        <v>2393.0505527021123</v>
      </c>
      <c r="U145" s="85">
        <f t="shared" si="53"/>
        <v>2485.00591419189</v>
      </c>
      <c r="V145" s="85">
        <f t="shared" si="54"/>
        <v>2617.1039931139558</v>
      </c>
      <c r="W145" s="85">
        <f t="shared" si="55"/>
        <v>2797.8046068402327</v>
      </c>
      <c r="X145" s="85">
        <f t="shared" si="56"/>
        <v>2718.7570168963662</v>
      </c>
      <c r="Y145" s="85">
        <f t="shared" si="57"/>
        <v>2839.9923174433625</v>
      </c>
      <c r="Z145" s="85">
        <f t="shared" si="57"/>
        <v>2676.5158030249036</v>
      </c>
      <c r="AA145" s="85">
        <f t="shared" si="58"/>
        <v>2714.7777702560161</v>
      </c>
      <c r="AB145" s="85">
        <f t="shared" si="59"/>
        <v>2736.1082342959148</v>
      </c>
      <c r="AC145" s="85">
        <f t="shared" si="60"/>
        <v>2741.70833574876</v>
      </c>
      <c r="AD145" s="41"/>
    </row>
    <row r="146" spans="17:30" hidden="1" x14ac:dyDescent="0.35">
      <c r="Q146" s="3" t="str">
        <f t="shared" si="50"/>
        <v>Jaunpils novads</v>
      </c>
      <c r="R146" s="3"/>
      <c r="S146" s="85">
        <f t="shared" si="51"/>
        <v>782.90418380871131</v>
      </c>
      <c r="T146" s="85">
        <f t="shared" si="52"/>
        <v>754.85487232885419</v>
      </c>
      <c r="U146" s="85">
        <f t="shared" si="53"/>
        <v>774.57238366960587</v>
      </c>
      <c r="V146" s="85">
        <f t="shared" si="54"/>
        <v>796.8210881495545</v>
      </c>
      <c r="W146" s="85">
        <f t="shared" si="55"/>
        <v>839.56231950457084</v>
      </c>
      <c r="X146" s="85">
        <f t="shared" si="56"/>
        <v>805.41108240684889</v>
      </c>
      <c r="Y146" s="85">
        <f t="shared" si="57"/>
        <v>809.6208465172308</v>
      </c>
      <c r="Z146" s="85">
        <f t="shared" si="57"/>
        <v>776.2213662816647</v>
      </c>
      <c r="AA146" s="85">
        <f t="shared" si="58"/>
        <v>779.31432187354551</v>
      </c>
      <c r="AB146" s="85">
        <f t="shared" si="59"/>
        <v>782.26305903690843</v>
      </c>
      <c r="AC146" s="85">
        <f t="shared" si="60"/>
        <v>780.62019513959876</v>
      </c>
      <c r="AD146" s="41"/>
    </row>
    <row r="147" spans="17:30" hidden="1" x14ac:dyDescent="0.35">
      <c r="Q147" s="3" t="str">
        <f t="shared" si="50"/>
        <v>Jūrmala</v>
      </c>
      <c r="R147" s="3"/>
      <c r="S147" s="85">
        <f t="shared" si="51"/>
        <v>10219.243710698</v>
      </c>
      <c r="T147" s="85">
        <f t="shared" si="52"/>
        <v>11211.316361221601</v>
      </c>
      <c r="U147" s="85">
        <f t="shared" si="53"/>
        <v>11119.09447224</v>
      </c>
      <c r="V147" s="85">
        <f t="shared" si="54"/>
        <v>10638.0618909568</v>
      </c>
      <c r="W147" s="85">
        <f t="shared" si="55"/>
        <v>12359.317013485201</v>
      </c>
      <c r="X147" s="85">
        <f t="shared" si="56"/>
        <v>12053.781468308</v>
      </c>
      <c r="Y147" s="85">
        <f t="shared" si="57"/>
        <v>12576.362696303278</v>
      </c>
      <c r="Z147" s="85">
        <f t="shared" si="57"/>
        <v>12110.093538707641</v>
      </c>
      <c r="AA147" s="85">
        <f t="shared" si="58"/>
        <v>12330.456313038299</v>
      </c>
      <c r="AB147" s="85">
        <f t="shared" si="59"/>
        <v>12510.466735777967</v>
      </c>
      <c r="AC147" s="85">
        <f t="shared" si="60"/>
        <v>12621.019974297744</v>
      </c>
      <c r="AD147" s="41"/>
    </row>
    <row r="148" spans="17:30" hidden="1" x14ac:dyDescent="0.35">
      <c r="Q148" s="3" t="str">
        <f t="shared" si="50"/>
        <v>Kandavas novads</v>
      </c>
      <c r="R148" s="3"/>
      <c r="S148" s="85">
        <f t="shared" si="51"/>
        <v>2802.0398419289436</v>
      </c>
      <c r="T148" s="85">
        <f t="shared" si="52"/>
        <v>2678.4375829933811</v>
      </c>
      <c r="U148" s="85">
        <f t="shared" si="53"/>
        <v>2737.7238365446087</v>
      </c>
      <c r="V148" s="85">
        <f t="shared" si="54"/>
        <v>2839.6549642694986</v>
      </c>
      <c r="W148" s="85">
        <f t="shared" si="55"/>
        <v>2977.1321724537083</v>
      </c>
      <c r="X148" s="85">
        <f t="shared" si="56"/>
        <v>2824.8741537029855</v>
      </c>
      <c r="Y148" s="85">
        <f t="shared" si="57"/>
        <v>2848.9137592782631</v>
      </c>
      <c r="Z148" s="85">
        <f t="shared" si="57"/>
        <v>2667.3339306303064</v>
      </c>
      <c r="AA148" s="85">
        <f t="shared" si="58"/>
        <v>2657.7895200276039</v>
      </c>
      <c r="AB148" s="85">
        <f t="shared" si="59"/>
        <v>2657.8094294988937</v>
      </c>
      <c r="AC148" s="85">
        <f t="shared" si="60"/>
        <v>2642.2966473639704</v>
      </c>
      <c r="AD148" s="41"/>
    </row>
    <row r="149" spans="17:30" hidden="1" x14ac:dyDescent="0.35">
      <c r="Q149" s="3" t="str">
        <f t="shared" si="50"/>
        <v>Krimuldas novads</v>
      </c>
      <c r="R149" s="3"/>
      <c r="S149" s="85">
        <f t="shared" si="51"/>
        <v>1664.426936077683</v>
      </c>
      <c r="T149" s="85">
        <f t="shared" si="52"/>
        <v>1598.6615463069352</v>
      </c>
      <c r="U149" s="85">
        <f t="shared" si="53"/>
        <v>1664.0750836193652</v>
      </c>
      <c r="V149" s="85">
        <f t="shared" si="54"/>
        <v>1741.2142597759084</v>
      </c>
      <c r="W149" s="85">
        <f t="shared" si="55"/>
        <v>1829.730335797462</v>
      </c>
      <c r="X149" s="85">
        <f t="shared" si="56"/>
        <v>1757.2278416960503</v>
      </c>
      <c r="Y149" s="85">
        <f t="shared" si="57"/>
        <v>1805.8485180811329</v>
      </c>
      <c r="Z149" s="85">
        <f t="shared" si="57"/>
        <v>1727.9577548754257</v>
      </c>
      <c r="AA149" s="85">
        <f t="shared" si="58"/>
        <v>1721.4013334619951</v>
      </c>
      <c r="AB149" s="85">
        <f t="shared" si="59"/>
        <v>1726.9236391343056</v>
      </c>
      <c r="AC149" s="85">
        <f t="shared" si="60"/>
        <v>1721.9131560081187</v>
      </c>
      <c r="AD149" s="41"/>
    </row>
    <row r="150" spans="17:30" hidden="1" x14ac:dyDescent="0.35">
      <c r="Q150" s="3" t="str">
        <f t="shared" si="50"/>
        <v>Ķeguma novads</v>
      </c>
      <c r="R150" s="3"/>
      <c r="S150" s="85">
        <f t="shared" si="51"/>
        <v>1797.4029412918403</v>
      </c>
      <c r="T150" s="85">
        <f t="shared" si="52"/>
        <v>1725.2943194881259</v>
      </c>
      <c r="U150" s="85">
        <f t="shared" si="53"/>
        <v>1785.4440730804797</v>
      </c>
      <c r="V150" s="85">
        <f t="shared" si="54"/>
        <v>1856.7499094263358</v>
      </c>
      <c r="W150" s="85">
        <f t="shared" si="55"/>
        <v>1998.3792578733799</v>
      </c>
      <c r="X150" s="85">
        <f t="shared" si="56"/>
        <v>1933.130485419565</v>
      </c>
      <c r="Y150" s="85">
        <f t="shared" si="57"/>
        <v>1986.5077152378701</v>
      </c>
      <c r="Z150" s="85">
        <f t="shared" si="57"/>
        <v>1884.0495855835677</v>
      </c>
      <c r="AA150" s="85">
        <f t="shared" si="58"/>
        <v>1892.3660841472338</v>
      </c>
      <c r="AB150" s="85">
        <f t="shared" si="59"/>
        <v>1904.5459277942155</v>
      </c>
      <c r="AC150" s="85">
        <f t="shared" si="60"/>
        <v>1906.0632208389825</v>
      </c>
      <c r="AD150" s="41"/>
    </row>
    <row r="151" spans="17:30" hidden="1" x14ac:dyDescent="0.35">
      <c r="Q151" s="3" t="str">
        <f t="shared" si="50"/>
        <v>Ķekavas novads</v>
      </c>
      <c r="R151" s="3"/>
      <c r="S151" s="85">
        <f t="shared" si="51"/>
        <v>7105.9450441833333</v>
      </c>
      <c r="T151" s="85">
        <f t="shared" si="52"/>
        <v>6898.3975341509658</v>
      </c>
      <c r="U151" s="85">
        <f t="shared" si="53"/>
        <v>7285.3587042573481</v>
      </c>
      <c r="V151" s="85">
        <f t="shared" si="54"/>
        <v>7751.7945466046267</v>
      </c>
      <c r="W151" s="85">
        <f t="shared" si="55"/>
        <v>8336.3383119578866</v>
      </c>
      <c r="X151" s="85">
        <f t="shared" si="56"/>
        <v>8288.6476823665071</v>
      </c>
      <c r="Y151" s="85">
        <f t="shared" si="57"/>
        <v>8809.1803584781155</v>
      </c>
      <c r="Z151" s="85">
        <f t="shared" si="57"/>
        <v>8570.5715824794006</v>
      </c>
      <c r="AA151" s="85">
        <f t="shared" si="58"/>
        <v>8772.9849461002286</v>
      </c>
      <c r="AB151" s="85">
        <f t="shared" si="59"/>
        <v>8939.1135476599447</v>
      </c>
      <c r="AC151" s="85">
        <f t="shared" si="60"/>
        <v>9056.3681285744424</v>
      </c>
      <c r="AD151" s="41"/>
    </row>
    <row r="152" spans="17:30" hidden="1" x14ac:dyDescent="0.35">
      <c r="Q152" s="3" t="str">
        <f t="shared" si="50"/>
        <v>Lielvārdes novads</v>
      </c>
      <c r="R152" s="3"/>
      <c r="S152" s="85">
        <f t="shared" si="51"/>
        <v>3270.9552287367619</v>
      </c>
      <c r="T152" s="85">
        <f t="shared" si="52"/>
        <v>3142.34593742789</v>
      </c>
      <c r="U152" s="85">
        <f t="shared" si="53"/>
        <v>3235.4332734328927</v>
      </c>
      <c r="V152" s="85">
        <f t="shared" si="54"/>
        <v>3393.8171068405745</v>
      </c>
      <c r="W152" s="85">
        <f t="shared" si="55"/>
        <v>3593.1794358445627</v>
      </c>
      <c r="X152" s="85">
        <f t="shared" si="56"/>
        <v>3501.8655146184342</v>
      </c>
      <c r="Y152" s="85">
        <f t="shared" si="57"/>
        <v>3584.5609839144431</v>
      </c>
      <c r="Z152" s="85">
        <f t="shared" si="57"/>
        <v>3398.7053817537499</v>
      </c>
      <c r="AA152" s="85">
        <f t="shared" si="58"/>
        <v>3400.4176558166087</v>
      </c>
      <c r="AB152" s="85">
        <f t="shared" si="59"/>
        <v>3425.9352043363397</v>
      </c>
      <c r="AC152" s="85">
        <f t="shared" si="60"/>
        <v>3432.0876624652656</v>
      </c>
      <c r="AD152" s="41"/>
    </row>
    <row r="153" spans="17:30" hidden="1" x14ac:dyDescent="0.35">
      <c r="Q153" s="3" t="str">
        <f t="shared" si="50"/>
        <v>Limbažu novads</v>
      </c>
      <c r="R153" s="3"/>
      <c r="S153" s="85">
        <f t="shared" si="51"/>
        <v>5566.5410029601098</v>
      </c>
      <c r="T153" s="85">
        <f t="shared" si="52"/>
        <v>5331.548611350524</v>
      </c>
      <c r="U153" s="85">
        <f t="shared" si="53"/>
        <v>5504.4217024035415</v>
      </c>
      <c r="V153" s="85">
        <f t="shared" si="54"/>
        <v>5737.9297861787427</v>
      </c>
      <c r="W153" s="85">
        <f t="shared" si="55"/>
        <v>6101.9242089957206</v>
      </c>
      <c r="X153" s="85">
        <f t="shared" si="56"/>
        <v>5867.7380867443135</v>
      </c>
      <c r="Y153" s="85">
        <f t="shared" si="57"/>
        <v>6059.5176396131219</v>
      </c>
      <c r="Z153" s="85">
        <f t="shared" si="57"/>
        <v>5923.0139923913021</v>
      </c>
      <c r="AA153" s="85">
        <f t="shared" si="58"/>
        <v>5963.8203864034031</v>
      </c>
      <c r="AB153" s="85">
        <f t="shared" si="59"/>
        <v>5959.7715262399497</v>
      </c>
      <c r="AC153" s="85">
        <f t="shared" si="60"/>
        <v>5919.9477016742685</v>
      </c>
      <c r="AD153" s="41"/>
    </row>
    <row r="154" spans="17:30" hidden="1" x14ac:dyDescent="0.35">
      <c r="Q154" s="3" t="str">
        <f t="shared" si="50"/>
        <v>Mālpils novads</v>
      </c>
      <c r="R154" s="3"/>
      <c r="S154" s="85">
        <f t="shared" si="51"/>
        <v>1128.7054222483982</v>
      </c>
      <c r="T154" s="85">
        <f t="shared" si="52"/>
        <v>1087.8064076686678</v>
      </c>
      <c r="U154" s="85">
        <f t="shared" si="53"/>
        <v>1131.9187452129404</v>
      </c>
      <c r="V154" s="85">
        <f t="shared" si="54"/>
        <v>1182.6215465692703</v>
      </c>
      <c r="W154" s="85">
        <f t="shared" si="55"/>
        <v>1256.0294174693383</v>
      </c>
      <c r="X154" s="85">
        <f t="shared" si="56"/>
        <v>1227.0018767707734</v>
      </c>
      <c r="Y154" s="85">
        <f t="shared" si="57"/>
        <v>1245.2845894548775</v>
      </c>
      <c r="Z154" s="85">
        <f t="shared" si="57"/>
        <v>1191.1713687297795</v>
      </c>
      <c r="AA154" s="85">
        <f t="shared" si="58"/>
        <v>1183.9308984952768</v>
      </c>
      <c r="AB154" s="85">
        <f t="shared" si="59"/>
        <v>1194.7817620878823</v>
      </c>
      <c r="AC154" s="85">
        <f t="shared" si="60"/>
        <v>1198.8095853929551</v>
      </c>
      <c r="AD154" s="41"/>
    </row>
    <row r="155" spans="17:30" hidden="1" x14ac:dyDescent="0.35">
      <c r="Q155" s="3" t="str">
        <f t="shared" si="50"/>
        <v>Mārupes novads</v>
      </c>
      <c r="R155" s="3"/>
      <c r="S155" s="85">
        <f t="shared" si="51"/>
        <v>5299.6346192886313</v>
      </c>
      <c r="T155" s="85">
        <f t="shared" si="52"/>
        <v>5234.5664387190754</v>
      </c>
      <c r="U155" s="85">
        <f t="shared" si="53"/>
        <v>5711.425045171437</v>
      </c>
      <c r="V155" s="85">
        <f t="shared" si="54"/>
        <v>6346.962842005626</v>
      </c>
      <c r="W155" s="85">
        <f t="shared" si="55"/>
        <v>6819.9709296246301</v>
      </c>
      <c r="X155" s="85">
        <f t="shared" si="56"/>
        <v>6998.6949617274013</v>
      </c>
      <c r="Y155" s="85">
        <f t="shared" si="57"/>
        <v>7437.1369496190255</v>
      </c>
      <c r="Z155" s="85">
        <f t="shared" si="57"/>
        <v>7324.6621283202958</v>
      </c>
      <c r="AA155" s="85">
        <f t="shared" si="58"/>
        <v>7685.2217198653989</v>
      </c>
      <c r="AB155" s="85">
        <f t="shared" si="59"/>
        <v>8110.0887024248159</v>
      </c>
      <c r="AC155" s="85">
        <f t="shared" si="60"/>
        <v>8499.1491077017672</v>
      </c>
      <c r="AD155" s="41"/>
    </row>
    <row r="156" spans="17:30" hidden="1" x14ac:dyDescent="0.35">
      <c r="Q156" s="3" t="str">
        <f t="shared" si="50"/>
        <v>Ogres novads</v>
      </c>
      <c r="R156" s="3"/>
      <c r="S156" s="85">
        <f t="shared" si="51"/>
        <v>11303.278567617766</v>
      </c>
      <c r="T156" s="85">
        <f t="shared" si="52"/>
        <v>10778.302160253694</v>
      </c>
      <c r="U156" s="85">
        <f t="shared" si="53"/>
        <v>11132.465929881533</v>
      </c>
      <c r="V156" s="85">
        <f t="shared" si="54"/>
        <v>11580.830015107726</v>
      </c>
      <c r="W156" s="85">
        <f t="shared" si="55"/>
        <v>12316.526518767056</v>
      </c>
      <c r="X156" s="85">
        <f t="shared" si="56"/>
        <v>11900.587243977572</v>
      </c>
      <c r="Y156" s="85">
        <f t="shared" ref="Y156:Z175" si="61">((-0.0000000006)*$Z$130 + 0.0461)*Y26</f>
        <v>12265.867342758984</v>
      </c>
      <c r="Z156" s="85">
        <f t="shared" si="61"/>
        <v>11628.135089880061</v>
      </c>
      <c r="AA156" s="85">
        <f t="shared" si="58"/>
        <v>11679.029531185355</v>
      </c>
      <c r="AB156" s="85">
        <f t="shared" si="59"/>
        <v>11710.38374522119</v>
      </c>
      <c r="AC156" s="85">
        <f t="shared" si="60"/>
        <v>11672.619647247195</v>
      </c>
      <c r="AD156" s="41"/>
    </row>
    <row r="157" spans="17:30" hidden="1" x14ac:dyDescent="0.35">
      <c r="Q157" s="3" t="str">
        <f t="shared" si="50"/>
        <v>Olaines novads</v>
      </c>
      <c r="R157" s="3"/>
      <c r="S157" s="85">
        <f t="shared" si="51"/>
        <v>6314.4515011861486</v>
      </c>
      <c r="T157" s="85">
        <f t="shared" si="52"/>
        <v>6090.7275295928821</v>
      </c>
      <c r="U157" s="85">
        <f t="shared" si="53"/>
        <v>6347.88788910943</v>
      </c>
      <c r="V157" s="85">
        <f t="shared" si="54"/>
        <v>6708.9063816184689</v>
      </c>
      <c r="W157" s="85">
        <f t="shared" si="55"/>
        <v>7175.6802281515675</v>
      </c>
      <c r="X157" s="85">
        <f t="shared" si="56"/>
        <v>6981.7881636599059</v>
      </c>
      <c r="Y157" s="85">
        <f t="shared" si="61"/>
        <v>7248.299764113629</v>
      </c>
      <c r="Z157" s="85">
        <f t="shared" si="61"/>
        <v>6890.2889342682265</v>
      </c>
      <c r="AA157" s="85">
        <f t="shared" si="58"/>
        <v>7018.4591921929677</v>
      </c>
      <c r="AB157" s="85">
        <f t="shared" si="59"/>
        <v>7066.4671329311832</v>
      </c>
      <c r="AC157" s="85">
        <f t="shared" si="60"/>
        <v>7073.6368528556777</v>
      </c>
      <c r="AD157" s="41"/>
    </row>
    <row r="158" spans="17:30" hidden="1" x14ac:dyDescent="0.35">
      <c r="Q158" s="3" t="str">
        <f t="shared" si="50"/>
        <v>Ropažu novads</v>
      </c>
      <c r="R158" s="3"/>
      <c r="S158" s="85">
        <f t="shared" si="51"/>
        <v>2181.6972338724672</v>
      </c>
      <c r="T158" s="85">
        <f t="shared" si="52"/>
        <v>2084.1901303089639</v>
      </c>
      <c r="U158" s="85">
        <f t="shared" si="53"/>
        <v>2156.955515621928</v>
      </c>
      <c r="V158" s="85">
        <f t="shared" si="54"/>
        <v>2259.9318372624875</v>
      </c>
      <c r="W158" s="85">
        <f t="shared" si="55"/>
        <v>2445.4093701008137</v>
      </c>
      <c r="X158" s="85">
        <f t="shared" si="56"/>
        <v>2446.0899331695277</v>
      </c>
      <c r="Y158" s="85">
        <f t="shared" si="61"/>
        <v>2540.3805624879501</v>
      </c>
      <c r="Z158" s="85">
        <f t="shared" si="61"/>
        <v>2402.4722269400208</v>
      </c>
      <c r="AA158" s="85">
        <f t="shared" si="58"/>
        <v>2434.8229910089381</v>
      </c>
      <c r="AB158" s="85">
        <f t="shared" si="59"/>
        <v>2481.6371187055956</v>
      </c>
      <c r="AC158" s="85">
        <f t="shared" si="60"/>
        <v>2515.0056662956245</v>
      </c>
      <c r="AD158" s="41"/>
    </row>
    <row r="159" spans="17:30" hidden="1" x14ac:dyDescent="0.35">
      <c r="Q159" s="3" t="str">
        <f t="shared" si="50"/>
        <v>Salacgrīvas novads</v>
      </c>
      <c r="R159" s="3"/>
      <c r="S159" s="85">
        <f t="shared" si="51"/>
        <v>2602.8939585220951</v>
      </c>
      <c r="T159" s="85">
        <f t="shared" si="52"/>
        <v>2479.2226105498007</v>
      </c>
      <c r="U159" s="85">
        <f t="shared" si="53"/>
        <v>2562.2699923634218</v>
      </c>
      <c r="V159" s="85">
        <f t="shared" si="54"/>
        <v>2666.8627094825765</v>
      </c>
      <c r="W159" s="85">
        <f t="shared" si="55"/>
        <v>2788.9671087401844</v>
      </c>
      <c r="X159" s="85">
        <f t="shared" si="56"/>
        <v>2670.1949373407947</v>
      </c>
      <c r="Y159" s="85">
        <f t="shared" si="61"/>
        <v>2686.8408992775685</v>
      </c>
      <c r="Z159" s="85">
        <f t="shared" si="61"/>
        <v>2583.9907812024298</v>
      </c>
      <c r="AA159" s="85">
        <f t="shared" si="58"/>
        <v>2593.6777385206392</v>
      </c>
      <c r="AB159" s="85">
        <f t="shared" si="59"/>
        <v>2590.7479531681115</v>
      </c>
      <c r="AC159" s="85">
        <f t="shared" si="60"/>
        <v>2572.2315828566102</v>
      </c>
      <c r="AD159" s="41"/>
    </row>
    <row r="160" spans="17:30" hidden="1" x14ac:dyDescent="0.35">
      <c r="Q160" s="3" t="str">
        <f t="shared" si="50"/>
        <v>Salaspils novads</v>
      </c>
      <c r="R160" s="3"/>
      <c r="S160" s="85">
        <f t="shared" si="51"/>
        <v>7098.6281826524109</v>
      </c>
      <c r="T160" s="85">
        <f t="shared" si="52"/>
        <v>6822.1090098198574</v>
      </c>
      <c r="U160" s="85">
        <f t="shared" si="53"/>
        <v>7149.5027001390717</v>
      </c>
      <c r="V160" s="85">
        <f t="shared" si="54"/>
        <v>7569.1187111691434</v>
      </c>
      <c r="W160" s="85">
        <f t="shared" si="55"/>
        <v>8208.1945895071894</v>
      </c>
      <c r="X160" s="85">
        <f t="shared" si="56"/>
        <v>8113.4644768586313</v>
      </c>
      <c r="Y160" s="85">
        <f t="shared" si="61"/>
        <v>8422.9562723755425</v>
      </c>
      <c r="Z160" s="85">
        <f t="shared" si="61"/>
        <v>8029.9005580129642</v>
      </c>
      <c r="AA160" s="85">
        <f t="shared" si="58"/>
        <v>8145.0456638959049</v>
      </c>
      <c r="AB160" s="85">
        <f t="shared" si="59"/>
        <v>8343.535138949268</v>
      </c>
      <c r="AC160" s="85">
        <f t="shared" si="60"/>
        <v>8497.6817765078958</v>
      </c>
      <c r="AD160" s="41"/>
    </row>
    <row r="161" spans="17:30" hidden="1" x14ac:dyDescent="0.35">
      <c r="Q161" s="3" t="str">
        <f t="shared" si="50"/>
        <v>Saulkrastu novads</v>
      </c>
      <c r="R161" s="3"/>
      <c r="S161" s="85">
        <f t="shared" si="51"/>
        <v>1862.6184462413673</v>
      </c>
      <c r="T161" s="85">
        <f t="shared" si="52"/>
        <v>1783.0512184756444</v>
      </c>
      <c r="U161" s="85">
        <f t="shared" si="53"/>
        <v>1851.1185395262817</v>
      </c>
      <c r="V161" s="85">
        <f t="shared" si="54"/>
        <v>1939.2266858729533</v>
      </c>
      <c r="W161" s="85">
        <f t="shared" si="55"/>
        <v>2059.8735154862147</v>
      </c>
      <c r="X161" s="85">
        <f t="shared" si="56"/>
        <v>2068.7445890673462</v>
      </c>
      <c r="Y161" s="85">
        <f t="shared" si="61"/>
        <v>2428.1190860654506</v>
      </c>
      <c r="Z161" s="85">
        <f t="shared" si="61"/>
        <v>2426.4863547412733</v>
      </c>
      <c r="AA161" s="85">
        <f t="shared" si="58"/>
        <v>2521.3738960433402</v>
      </c>
      <c r="AB161" s="85">
        <f t="shared" si="59"/>
        <v>2519.6990377041475</v>
      </c>
      <c r="AC161" s="85">
        <f t="shared" si="60"/>
        <v>2502.9001839461853</v>
      </c>
      <c r="AD161" s="41"/>
    </row>
    <row r="162" spans="17:30" hidden="1" x14ac:dyDescent="0.35">
      <c r="Q162" s="3" t="str">
        <f t="shared" si="50"/>
        <v>Sējas novads</v>
      </c>
      <c r="R162" s="3"/>
      <c r="S162" s="85">
        <f t="shared" si="51"/>
        <v>714.50743471530507</v>
      </c>
      <c r="T162" s="85">
        <f t="shared" si="52"/>
        <v>686.5967189799685</v>
      </c>
      <c r="U162" s="85">
        <f t="shared" si="53"/>
        <v>717.59012601810127</v>
      </c>
      <c r="V162" s="85">
        <f t="shared" si="54"/>
        <v>764.10302807155745</v>
      </c>
      <c r="W162" s="85">
        <f t="shared" si="55"/>
        <v>804.58055619188042</v>
      </c>
      <c r="X162" s="85">
        <f t="shared" si="56"/>
        <v>785.98625058462028</v>
      </c>
      <c r="Y162" s="85">
        <f t="shared" si="61"/>
        <v>791.03450936118782</v>
      </c>
      <c r="Z162" s="85">
        <f t="shared" si="61"/>
        <v>763.86115344278471</v>
      </c>
      <c r="AA162" s="85">
        <f t="shared" si="58"/>
        <v>766.13578900822506</v>
      </c>
      <c r="AB162" s="85">
        <f t="shared" si="59"/>
        <v>773.92568630389223</v>
      </c>
      <c r="AC162" s="85">
        <f t="shared" si="60"/>
        <v>777.68553275185582</v>
      </c>
      <c r="AD162" s="41"/>
    </row>
    <row r="163" spans="17:30" hidden="1" x14ac:dyDescent="0.35">
      <c r="Q163" s="3" t="str">
        <f t="shared" si="50"/>
        <v>Siguldas novads</v>
      </c>
      <c r="R163" s="3"/>
      <c r="S163" s="85">
        <f t="shared" si="51"/>
        <v>5425.6118873862542</v>
      </c>
      <c r="T163" s="85">
        <f t="shared" si="52"/>
        <v>5286.7638501035181</v>
      </c>
      <c r="U163" s="85">
        <f t="shared" si="53"/>
        <v>5576.5348420303053</v>
      </c>
      <c r="V163" s="85">
        <f t="shared" si="54"/>
        <v>5908.6771622107899</v>
      </c>
      <c r="W163" s="85">
        <f t="shared" si="55"/>
        <v>6354.8975921095989</v>
      </c>
      <c r="X163" s="85">
        <f t="shared" si="56"/>
        <v>6236.4501722588384</v>
      </c>
      <c r="Y163" s="85">
        <f t="shared" si="61"/>
        <v>6602.2386845695755</v>
      </c>
      <c r="Z163" s="85">
        <f t="shared" si="61"/>
        <v>6375.7509312325647</v>
      </c>
      <c r="AA163" s="85">
        <f t="shared" si="58"/>
        <v>6440.0284523745786</v>
      </c>
      <c r="AB163" s="85">
        <f t="shared" si="59"/>
        <v>6561.5123408837253</v>
      </c>
      <c r="AC163" s="85">
        <f t="shared" si="60"/>
        <v>6647.3771410360287</v>
      </c>
      <c r="AD163" s="41"/>
    </row>
    <row r="164" spans="17:30" hidden="1" x14ac:dyDescent="0.35">
      <c r="Q164" s="3" t="str">
        <f t="shared" si="50"/>
        <v>Stopiņu novads</v>
      </c>
      <c r="R164" s="3"/>
      <c r="S164" s="85">
        <f t="shared" si="51"/>
        <v>3256.6396300893043</v>
      </c>
      <c r="T164" s="85">
        <f t="shared" si="52"/>
        <v>3148.8320062981461</v>
      </c>
      <c r="U164" s="85">
        <f t="shared" si="53"/>
        <v>3289.8400618120127</v>
      </c>
      <c r="V164" s="85">
        <f t="shared" si="54"/>
        <v>3488.9039689422539</v>
      </c>
      <c r="W164" s="85">
        <f t="shared" si="55"/>
        <v>3790.1819976581355</v>
      </c>
      <c r="X164" s="85">
        <f t="shared" si="56"/>
        <v>3774.1728792374533</v>
      </c>
      <c r="Y164" s="85">
        <f t="shared" si="61"/>
        <v>4031.3765291457148</v>
      </c>
      <c r="Z164" s="85">
        <f t="shared" si="61"/>
        <v>4083.4611730277024</v>
      </c>
      <c r="AA164" s="85">
        <f t="shared" si="58"/>
        <v>4345.7102564804063</v>
      </c>
      <c r="AB164" s="85">
        <f t="shared" si="59"/>
        <v>4384.7330686331989</v>
      </c>
      <c r="AC164" s="85">
        <f t="shared" si="60"/>
        <v>4399.0589192265361</v>
      </c>
      <c r="AD164" s="41"/>
    </row>
    <row r="165" spans="17:30" hidden="1" x14ac:dyDescent="0.35">
      <c r="Q165" s="3" t="str">
        <f t="shared" si="50"/>
        <v>Tukuma novads</v>
      </c>
      <c r="R165" s="3"/>
      <c r="S165" s="85">
        <f t="shared" si="51"/>
        <v>9454.3394711950805</v>
      </c>
      <c r="T165" s="85">
        <f t="shared" si="52"/>
        <v>9011.6205441648854</v>
      </c>
      <c r="U165" s="85">
        <f t="shared" si="53"/>
        <v>9358.2895348677357</v>
      </c>
      <c r="V165" s="85">
        <f t="shared" si="54"/>
        <v>9773.4980089241981</v>
      </c>
      <c r="W165" s="85">
        <f t="shared" si="55"/>
        <v>10391.793078394076</v>
      </c>
      <c r="X165" s="85">
        <f t="shared" si="56"/>
        <v>10036.522827259263</v>
      </c>
      <c r="Y165" s="85">
        <f t="shared" si="61"/>
        <v>10351.846342429681</v>
      </c>
      <c r="Z165" s="85">
        <f t="shared" si="61"/>
        <v>9781.5192917513887</v>
      </c>
      <c r="AA165" s="85">
        <f t="shared" si="58"/>
        <v>9835.4596362961984</v>
      </c>
      <c r="AB165" s="85">
        <f t="shared" si="59"/>
        <v>9845.3497142921369</v>
      </c>
      <c r="AC165" s="85">
        <f t="shared" si="60"/>
        <v>9797.0035486810448</v>
      </c>
      <c r="AD165" s="41"/>
    </row>
    <row r="166" spans="17:30" hidden="1" x14ac:dyDescent="0.35">
      <c r="Q166" s="3" t="str">
        <f t="shared" si="50"/>
        <v>Alūksnes novads</v>
      </c>
      <c r="R166" s="3"/>
      <c r="S166" s="85">
        <f t="shared" si="51"/>
        <v>3275.7349094898686</v>
      </c>
      <c r="T166" s="85">
        <f t="shared" si="52"/>
        <v>3601.5404937900048</v>
      </c>
      <c r="U166" s="85">
        <f t="shared" si="53"/>
        <v>3488.6626090060367</v>
      </c>
      <c r="V166" s="85">
        <f t="shared" si="54"/>
        <v>3525.0093904807063</v>
      </c>
      <c r="W166" s="85">
        <f t="shared" si="55"/>
        <v>3497.0583594942059</v>
      </c>
      <c r="X166" s="85">
        <f t="shared" si="56"/>
        <v>3556.9694388951052</v>
      </c>
      <c r="Y166" s="85">
        <f t="shared" si="61"/>
        <v>3684.1818289028829</v>
      </c>
      <c r="Z166" s="85">
        <f t="shared" si="61"/>
        <v>3532.0673896517706</v>
      </c>
      <c r="AA166" s="85">
        <f t="shared" si="58"/>
        <v>3593.6742218795339</v>
      </c>
      <c r="AB166" s="85">
        <f t="shared" si="59"/>
        <v>3616.5330083433641</v>
      </c>
      <c r="AC166" s="85">
        <f t="shared" si="60"/>
        <v>3616.8491379134598</v>
      </c>
      <c r="AD166" s="41"/>
    </row>
    <row r="167" spans="17:30" hidden="1" x14ac:dyDescent="0.35">
      <c r="Q167" s="3" t="str">
        <f t="shared" si="50"/>
        <v>Amatas novads</v>
      </c>
      <c r="R167" s="3"/>
      <c r="S167" s="85">
        <f t="shared" si="51"/>
        <v>1115.1225733426043</v>
      </c>
      <c r="T167" s="85">
        <f t="shared" si="52"/>
        <v>1231.6312407388557</v>
      </c>
      <c r="U167" s="85">
        <f t="shared" si="53"/>
        <v>1201.234287916956</v>
      </c>
      <c r="V167" s="85">
        <f t="shared" si="54"/>
        <v>1223.130818347021</v>
      </c>
      <c r="W167" s="85">
        <f t="shared" si="55"/>
        <v>1212.0913204933258</v>
      </c>
      <c r="X167" s="85">
        <f t="shared" si="56"/>
        <v>1229.6516101984669</v>
      </c>
      <c r="Y167" s="85">
        <f t="shared" si="61"/>
        <v>1297.1297995776911</v>
      </c>
      <c r="Z167" s="85">
        <f t="shared" si="61"/>
        <v>1269.0303333069137</v>
      </c>
      <c r="AA167" s="85">
        <f t="shared" si="58"/>
        <v>1307.2148781990197</v>
      </c>
      <c r="AB167" s="85">
        <f t="shared" si="59"/>
        <v>1319.5094371468713</v>
      </c>
      <c r="AC167" s="85">
        <f t="shared" si="60"/>
        <v>1323.9704722412866</v>
      </c>
      <c r="AD167" s="41"/>
    </row>
    <row r="168" spans="17:30" hidden="1" x14ac:dyDescent="0.35">
      <c r="Q168" s="3" t="str">
        <f t="shared" ref="Q168:Q199" si="62">Q38</f>
        <v>Apes novads</v>
      </c>
      <c r="R168" s="3"/>
      <c r="S168" s="85">
        <f t="shared" ref="S168:S199" si="63">((-0.0000000006)*$S$130 + 0.0461)*S38</f>
        <v>741.8188813182685</v>
      </c>
      <c r="T168" s="85">
        <f t="shared" ref="T168:T199" si="64">((-0.0000000006)*$T$130 + 0.0461)*T38</f>
        <v>821.46331197576922</v>
      </c>
      <c r="U168" s="85">
        <f t="shared" ref="U168:U199" si="65">((-0.0000000006)*$U$130 + 0.0461)*U38</f>
        <v>797.92455761967051</v>
      </c>
      <c r="V168" s="85">
        <f t="shared" ref="V168:V199" si="66">((-0.0000000006)*$V$130 + 0.0461)*V38</f>
        <v>808.54516153799693</v>
      </c>
      <c r="W168" s="85">
        <f t="shared" ref="W168:W199" si="67">((-0.0000000006)*$W$130 + 0.0461)*W38</f>
        <v>801.72222728737336</v>
      </c>
      <c r="X168" s="85">
        <f t="shared" ref="X168:X199" si="68">((-0.0000000006)*$X$130 + 0.0461)*X38</f>
        <v>822.14364103815149</v>
      </c>
      <c r="Y168" s="85">
        <f t="shared" si="61"/>
        <v>857.72480224934634</v>
      </c>
      <c r="Z168" s="85">
        <f t="shared" si="61"/>
        <v>819.54019147791962</v>
      </c>
      <c r="AA168" s="85">
        <f t="shared" ref="AA168:AA199" si="69">((-0.0000000006)*$AA$130 + 0.0461)*AA38</f>
        <v>830.94480060052717</v>
      </c>
      <c r="AB168" s="85">
        <f t="shared" ref="AB168:AB199" si="70">((-0.0000000006)*$AB$130 + 0.0461)*AB38</f>
        <v>841.25458809118902</v>
      </c>
      <c r="AC168" s="85">
        <f t="shared" ref="AC168:AC199" si="71">((-0.0000000006)*$AC$130 + 0.0461)*AC38</f>
        <v>846.75118684956612</v>
      </c>
      <c r="AD168" s="41"/>
    </row>
    <row r="169" spans="17:30" hidden="1" x14ac:dyDescent="0.35">
      <c r="Q169" s="3" t="str">
        <f t="shared" si="62"/>
        <v>Beverīnas novads</v>
      </c>
      <c r="R169" s="3"/>
      <c r="S169" s="85">
        <f t="shared" si="63"/>
        <v>658.21960448331561</v>
      </c>
      <c r="T169" s="85">
        <f t="shared" si="64"/>
        <v>728.56106532904494</v>
      </c>
      <c r="U169" s="85">
        <f t="shared" si="65"/>
        <v>710.30668918029357</v>
      </c>
      <c r="V169" s="85">
        <f t="shared" si="66"/>
        <v>719.62352812622169</v>
      </c>
      <c r="W169" s="85">
        <f t="shared" si="67"/>
        <v>716.26779369071039</v>
      </c>
      <c r="X169" s="85">
        <f t="shared" si="68"/>
        <v>738.82325409885902</v>
      </c>
      <c r="Y169" s="85">
        <f t="shared" si="61"/>
        <v>767.65719023773056</v>
      </c>
      <c r="Z169" s="85">
        <f t="shared" si="61"/>
        <v>751.66416334938037</v>
      </c>
      <c r="AA169" s="85">
        <f t="shared" si="69"/>
        <v>764.31365746344909</v>
      </c>
      <c r="AB169" s="85">
        <f t="shared" si="70"/>
        <v>779.58771847759044</v>
      </c>
      <c r="AC169" s="85">
        <f t="shared" si="71"/>
        <v>790.82053007770833</v>
      </c>
      <c r="AD169" s="41"/>
    </row>
    <row r="170" spans="17:30" hidden="1" x14ac:dyDescent="0.35">
      <c r="Q170" s="3" t="str">
        <f t="shared" si="62"/>
        <v>Burtnieku novads</v>
      </c>
      <c r="R170" s="3"/>
      <c r="S170" s="85">
        <f t="shared" si="63"/>
        <v>1628.4899702312284</v>
      </c>
      <c r="T170" s="85">
        <f t="shared" si="64"/>
        <v>1832.7899532635336</v>
      </c>
      <c r="U170" s="85">
        <f t="shared" si="65"/>
        <v>1808.5398187792032</v>
      </c>
      <c r="V170" s="85">
        <f t="shared" si="66"/>
        <v>1867.8126605823909</v>
      </c>
      <c r="W170" s="85">
        <f t="shared" si="67"/>
        <v>1872.7198263752202</v>
      </c>
      <c r="X170" s="85">
        <f t="shared" si="68"/>
        <v>1864.0171520577999</v>
      </c>
      <c r="Y170" s="85">
        <f t="shared" si="61"/>
        <v>1948.4279650489702</v>
      </c>
      <c r="Z170" s="85">
        <f t="shared" si="61"/>
        <v>1867.8477370186943</v>
      </c>
      <c r="AA170" s="85">
        <f t="shared" si="69"/>
        <v>1921.1547495943546</v>
      </c>
      <c r="AB170" s="85">
        <f t="shared" si="70"/>
        <v>1969.569800671881</v>
      </c>
      <c r="AC170" s="85">
        <f t="shared" si="71"/>
        <v>2008.4949282550665</v>
      </c>
      <c r="AD170" s="41"/>
    </row>
    <row r="171" spans="17:30" hidden="1" x14ac:dyDescent="0.35">
      <c r="Q171" s="3" t="str">
        <f t="shared" si="62"/>
        <v>Cesvaines novads</v>
      </c>
      <c r="R171" s="3"/>
      <c r="S171" s="85">
        <f t="shared" si="63"/>
        <v>553.47110725574964</v>
      </c>
      <c r="T171" s="85">
        <f t="shared" si="64"/>
        <v>608.14893011217396</v>
      </c>
      <c r="U171" s="85">
        <f t="shared" si="65"/>
        <v>583.45028423880353</v>
      </c>
      <c r="V171" s="85">
        <f t="shared" si="66"/>
        <v>586.69943694367123</v>
      </c>
      <c r="W171" s="85">
        <f t="shared" si="67"/>
        <v>586.20802387600918</v>
      </c>
      <c r="X171" s="85">
        <f t="shared" si="68"/>
        <v>595.28606833913386</v>
      </c>
      <c r="Y171" s="85">
        <f t="shared" si="61"/>
        <v>608.86746963921723</v>
      </c>
      <c r="Z171" s="85">
        <f t="shared" si="61"/>
        <v>580.46573684739769</v>
      </c>
      <c r="AA171" s="85">
        <f t="shared" si="69"/>
        <v>584.1243793301054</v>
      </c>
      <c r="AB171" s="85">
        <f t="shared" si="70"/>
        <v>591.89423323445374</v>
      </c>
      <c r="AC171" s="85">
        <f t="shared" si="71"/>
        <v>596.59367223314803</v>
      </c>
      <c r="AD171" s="41"/>
    </row>
    <row r="172" spans="17:30" hidden="1" x14ac:dyDescent="0.35">
      <c r="Q172" s="3" t="str">
        <f t="shared" si="62"/>
        <v>Cēsu novads</v>
      </c>
      <c r="R172" s="3"/>
      <c r="S172" s="85">
        <f t="shared" si="63"/>
        <v>3499.3978911891104</v>
      </c>
      <c r="T172" s="85">
        <f t="shared" si="64"/>
        <v>3887.6884330975122</v>
      </c>
      <c r="U172" s="85">
        <f t="shared" si="65"/>
        <v>3798.7808151108038</v>
      </c>
      <c r="V172" s="85">
        <f t="shared" si="66"/>
        <v>3857.0904389695261</v>
      </c>
      <c r="W172" s="85">
        <f t="shared" si="67"/>
        <v>3903.6712138607445</v>
      </c>
      <c r="X172" s="85">
        <f t="shared" si="68"/>
        <v>4052.7134520412792</v>
      </c>
      <c r="Y172" s="85">
        <f t="shared" si="61"/>
        <v>4261.8119764571466</v>
      </c>
      <c r="Z172" s="85">
        <f t="shared" si="61"/>
        <v>4079.0978978284434</v>
      </c>
      <c r="AA172" s="85">
        <f t="shared" si="69"/>
        <v>4185.317290513045</v>
      </c>
      <c r="AB172" s="85">
        <f t="shared" si="70"/>
        <v>4250.705401094564</v>
      </c>
      <c r="AC172" s="85">
        <f t="shared" si="71"/>
        <v>4292.4692107595811</v>
      </c>
      <c r="AD172" s="41"/>
    </row>
    <row r="173" spans="17:30" hidden="1" x14ac:dyDescent="0.35">
      <c r="Q173" s="3" t="str">
        <f t="shared" si="62"/>
        <v>Ērgļu novads</v>
      </c>
      <c r="R173" s="3"/>
      <c r="S173" s="85">
        <f t="shared" si="63"/>
        <v>610.33457717928547</v>
      </c>
      <c r="T173" s="85">
        <f t="shared" si="64"/>
        <v>673.76677907867099</v>
      </c>
      <c r="U173" s="85">
        <f t="shared" si="65"/>
        <v>656.13075525976262</v>
      </c>
      <c r="V173" s="85">
        <f t="shared" si="66"/>
        <v>671.26666047188007</v>
      </c>
      <c r="W173" s="85">
        <f t="shared" si="67"/>
        <v>658.2808566072606</v>
      </c>
      <c r="X173" s="85">
        <f t="shared" si="68"/>
        <v>675.16549534583021</v>
      </c>
      <c r="Y173" s="85">
        <f t="shared" si="61"/>
        <v>699.97632572033149</v>
      </c>
      <c r="Z173" s="85">
        <f t="shared" si="61"/>
        <v>673.73242734994631</v>
      </c>
      <c r="AA173" s="85">
        <f t="shared" si="69"/>
        <v>674.08938582258054</v>
      </c>
      <c r="AB173" s="85">
        <f t="shared" si="70"/>
        <v>682.10559271286229</v>
      </c>
      <c r="AC173" s="85">
        <f t="shared" si="71"/>
        <v>686.19402785771604</v>
      </c>
      <c r="AD173" s="41"/>
    </row>
    <row r="174" spans="17:30" hidden="1" x14ac:dyDescent="0.35">
      <c r="Q174" s="3" t="str">
        <f t="shared" si="62"/>
        <v>Gulbenes novads</v>
      </c>
      <c r="R174" s="3"/>
      <c r="S174" s="85">
        <f t="shared" si="63"/>
        <v>4464.2811913653195</v>
      </c>
      <c r="T174" s="85">
        <f t="shared" si="64"/>
        <v>4946.1426703783973</v>
      </c>
      <c r="U174" s="85">
        <f t="shared" si="65"/>
        <v>4824.5564199188802</v>
      </c>
      <c r="V174" s="85">
        <f t="shared" si="66"/>
        <v>4868.688608762247</v>
      </c>
      <c r="W174" s="85">
        <f t="shared" si="67"/>
        <v>4884.2843158751984</v>
      </c>
      <c r="X174" s="85">
        <f t="shared" si="68"/>
        <v>5021.589455919423</v>
      </c>
      <c r="Y174" s="85">
        <f t="shared" si="61"/>
        <v>5226.784917864833</v>
      </c>
      <c r="Z174" s="85">
        <f t="shared" si="61"/>
        <v>5028.1053281441327</v>
      </c>
      <c r="AA174" s="85">
        <f t="shared" si="69"/>
        <v>5086.5229463281566</v>
      </c>
      <c r="AB174" s="85">
        <f t="shared" si="70"/>
        <v>5167.629816091523</v>
      </c>
      <c r="AC174" s="85">
        <f t="shared" si="71"/>
        <v>5220.4728940140349</v>
      </c>
      <c r="AD174" s="41"/>
    </row>
    <row r="175" spans="17:30" hidden="1" x14ac:dyDescent="0.35">
      <c r="Q175" s="3" t="str">
        <f t="shared" si="62"/>
        <v>Jaunpiebalgas novads</v>
      </c>
      <c r="R175" s="3"/>
      <c r="S175" s="85">
        <f t="shared" si="63"/>
        <v>465.48236958459398</v>
      </c>
      <c r="T175" s="85">
        <f t="shared" si="64"/>
        <v>522.91337372270345</v>
      </c>
      <c r="U175" s="85">
        <f t="shared" si="65"/>
        <v>511.21570567809573</v>
      </c>
      <c r="V175" s="85">
        <f t="shared" si="66"/>
        <v>502.59057235057469</v>
      </c>
      <c r="W175" s="85">
        <f t="shared" si="67"/>
        <v>502.16217984412629</v>
      </c>
      <c r="X175" s="85">
        <f t="shared" si="68"/>
        <v>512.7030299568263</v>
      </c>
      <c r="Y175" s="85">
        <f t="shared" si="61"/>
        <v>525.56794407934149</v>
      </c>
      <c r="Z175" s="85">
        <f t="shared" si="61"/>
        <v>505.55071320923201</v>
      </c>
      <c r="AA175" s="85">
        <f t="shared" si="69"/>
        <v>516.45617559945401</v>
      </c>
      <c r="AB175" s="85">
        <f t="shared" si="70"/>
        <v>522.95659733453556</v>
      </c>
      <c r="AC175" s="85">
        <f t="shared" si="71"/>
        <v>526.74991676182333</v>
      </c>
      <c r="AD175" s="41"/>
    </row>
    <row r="176" spans="17:30" hidden="1" x14ac:dyDescent="0.35">
      <c r="Q176" s="3" t="str">
        <f t="shared" si="62"/>
        <v>Kocēnu novads</v>
      </c>
      <c r="R176" s="3"/>
      <c r="S176" s="85">
        <f t="shared" si="63"/>
        <v>1249.5996916880893</v>
      </c>
      <c r="T176" s="85">
        <f t="shared" si="64"/>
        <v>1403.9062806371505</v>
      </c>
      <c r="U176" s="85">
        <f t="shared" si="65"/>
        <v>1370.4504765823176</v>
      </c>
      <c r="V176" s="85">
        <f t="shared" si="66"/>
        <v>1396.1613163518928</v>
      </c>
      <c r="W176" s="85">
        <f t="shared" si="67"/>
        <v>1403.8942662308909</v>
      </c>
      <c r="X176" s="85">
        <f t="shared" si="68"/>
        <v>1453.0682229648883</v>
      </c>
      <c r="Y176" s="85">
        <f t="shared" ref="Y176:Z195" si="72">((-0.0000000006)*$Z$130 + 0.0461)*Y46</f>
        <v>1518.1338533287367</v>
      </c>
      <c r="Z176" s="85">
        <f t="shared" si="72"/>
        <v>1459.5859974603686</v>
      </c>
      <c r="AA176" s="85">
        <f t="shared" si="69"/>
        <v>1497.5154971197019</v>
      </c>
      <c r="AB176" s="85">
        <f t="shared" si="70"/>
        <v>1531.4388100110732</v>
      </c>
      <c r="AC176" s="85">
        <f t="shared" si="71"/>
        <v>1557.7105303923336</v>
      </c>
      <c r="AD176" s="41"/>
    </row>
    <row r="177" spans="17:30" hidden="1" x14ac:dyDescent="0.35">
      <c r="Q177" s="3" t="str">
        <f t="shared" si="62"/>
        <v>Līgatnes novads</v>
      </c>
      <c r="R177" s="3"/>
      <c r="S177" s="85">
        <f t="shared" si="63"/>
        <v>718.87397240175403</v>
      </c>
      <c r="T177" s="85">
        <f t="shared" si="64"/>
        <v>796.43382319473426</v>
      </c>
      <c r="U177" s="85">
        <f t="shared" si="65"/>
        <v>776.07582706735775</v>
      </c>
      <c r="V177" s="85">
        <f t="shared" si="66"/>
        <v>780.12690756103791</v>
      </c>
      <c r="W177" s="85">
        <f t="shared" si="67"/>
        <v>778.01096961357393</v>
      </c>
      <c r="X177" s="85">
        <f t="shared" si="68"/>
        <v>801.74366429490283</v>
      </c>
      <c r="Y177" s="85">
        <f t="shared" si="72"/>
        <v>849.65516071073341</v>
      </c>
      <c r="Z177" s="85">
        <f t="shared" si="72"/>
        <v>819.79158417469216</v>
      </c>
      <c r="AA177" s="85">
        <f t="shared" si="69"/>
        <v>844.68585346537202</v>
      </c>
      <c r="AB177" s="85">
        <f t="shared" si="70"/>
        <v>853.91110718218965</v>
      </c>
      <c r="AC177" s="85">
        <f t="shared" si="71"/>
        <v>858.43818975711827</v>
      </c>
      <c r="AD177" s="41"/>
    </row>
    <row r="178" spans="17:30" hidden="1" x14ac:dyDescent="0.35">
      <c r="Q178" s="3" t="str">
        <f t="shared" si="62"/>
        <v>Lubānas novads</v>
      </c>
      <c r="R178" s="3"/>
      <c r="S178" s="85">
        <f t="shared" si="63"/>
        <v>499.20140964451525</v>
      </c>
      <c r="T178" s="85">
        <f t="shared" si="64"/>
        <v>558.08995255010404</v>
      </c>
      <c r="U178" s="85">
        <f t="shared" si="65"/>
        <v>544.88058642706756</v>
      </c>
      <c r="V178" s="85">
        <f t="shared" si="66"/>
        <v>543.38451757556436</v>
      </c>
      <c r="W178" s="85">
        <f t="shared" si="67"/>
        <v>542.7765122952876</v>
      </c>
      <c r="X178" s="85">
        <f t="shared" si="68"/>
        <v>562.10538327481379</v>
      </c>
      <c r="Y178" s="85">
        <f t="shared" si="72"/>
        <v>579.45232467588608</v>
      </c>
      <c r="Z178" s="85">
        <f t="shared" si="72"/>
        <v>558.84596492497406</v>
      </c>
      <c r="AA178" s="85">
        <f t="shared" si="69"/>
        <v>560.79051597470834</v>
      </c>
      <c r="AB178" s="85">
        <f t="shared" si="70"/>
        <v>571.69766021689964</v>
      </c>
      <c r="AC178" s="85">
        <f t="shared" si="71"/>
        <v>579.61969181979816</v>
      </c>
      <c r="AD178" s="41"/>
    </row>
    <row r="179" spans="17:30" hidden="1" x14ac:dyDescent="0.35">
      <c r="Q179" s="3" t="str">
        <f t="shared" si="62"/>
        <v>Madonas novads</v>
      </c>
      <c r="R179" s="3"/>
      <c r="S179" s="85">
        <f t="shared" si="63"/>
        <v>4908.8138615043999</v>
      </c>
      <c r="T179" s="85">
        <f t="shared" si="64"/>
        <v>5441.9971373107919</v>
      </c>
      <c r="U179" s="85">
        <f t="shared" si="65"/>
        <v>5301.2154599275018</v>
      </c>
      <c r="V179" s="85">
        <f t="shared" si="66"/>
        <v>5372.1958989830464</v>
      </c>
      <c r="W179" s="85">
        <f t="shared" si="67"/>
        <v>5386.6812606467875</v>
      </c>
      <c r="X179" s="85">
        <f t="shared" si="68"/>
        <v>5555.6755940288122</v>
      </c>
      <c r="Y179" s="85">
        <f t="shared" si="72"/>
        <v>5794.7835577762362</v>
      </c>
      <c r="Z179" s="85">
        <f t="shared" si="72"/>
        <v>5547.9854250693897</v>
      </c>
      <c r="AA179" s="85">
        <f t="shared" si="69"/>
        <v>5619.8313565731751</v>
      </c>
      <c r="AB179" s="85">
        <f t="shared" si="70"/>
        <v>5716.4380268885279</v>
      </c>
      <c r="AC179" s="85">
        <f t="shared" si="71"/>
        <v>5782.2838194985152</v>
      </c>
      <c r="AD179" s="41"/>
    </row>
    <row r="180" spans="17:30" hidden="1" x14ac:dyDescent="0.35">
      <c r="Q180" s="3" t="str">
        <f t="shared" si="62"/>
        <v>Mazsalacas novads</v>
      </c>
      <c r="R180" s="3"/>
      <c r="S180" s="85">
        <f t="shared" si="63"/>
        <v>677.77265729912801</v>
      </c>
      <c r="T180" s="85">
        <f t="shared" si="64"/>
        <v>747.27680919234126</v>
      </c>
      <c r="U180" s="85">
        <f t="shared" si="65"/>
        <v>722.12283937695247</v>
      </c>
      <c r="V180" s="85">
        <f t="shared" si="66"/>
        <v>721.22778439911463</v>
      </c>
      <c r="W180" s="85">
        <f t="shared" si="67"/>
        <v>711.33773021397985</v>
      </c>
      <c r="X180" s="85">
        <f t="shared" si="68"/>
        <v>734.89072846160627</v>
      </c>
      <c r="Y180" s="85">
        <f t="shared" si="72"/>
        <v>763.23190294236213</v>
      </c>
      <c r="Z180" s="85">
        <f t="shared" si="72"/>
        <v>737.083386936583</v>
      </c>
      <c r="AA180" s="85">
        <f t="shared" si="69"/>
        <v>743.3131804435917</v>
      </c>
      <c r="AB180" s="85">
        <f t="shared" si="70"/>
        <v>751.31251625301456</v>
      </c>
      <c r="AC180" s="85">
        <f t="shared" si="71"/>
        <v>755.20299740707264</v>
      </c>
      <c r="AD180" s="41"/>
    </row>
    <row r="181" spans="17:30" hidden="1" x14ac:dyDescent="0.35">
      <c r="Q181" s="3" t="str">
        <f t="shared" si="62"/>
        <v>Naukšēnu novads</v>
      </c>
      <c r="R181" s="3"/>
      <c r="S181" s="85">
        <f t="shared" si="63"/>
        <v>385.47446979744348</v>
      </c>
      <c r="T181" s="85">
        <f t="shared" si="64"/>
        <v>424.14836393807906</v>
      </c>
      <c r="U181" s="85">
        <f t="shared" si="65"/>
        <v>411.78168704205962</v>
      </c>
      <c r="V181" s="85">
        <f t="shared" si="66"/>
        <v>418.02334882236579</v>
      </c>
      <c r="W181" s="85">
        <f t="shared" si="67"/>
        <v>415.53392161014665</v>
      </c>
      <c r="X181" s="85">
        <f t="shared" si="68"/>
        <v>425.45011738028109</v>
      </c>
      <c r="Y181" s="85">
        <f t="shared" si="72"/>
        <v>442.78904055421486</v>
      </c>
      <c r="Z181" s="85">
        <f t="shared" si="72"/>
        <v>434.90936541619664</v>
      </c>
      <c r="AA181" s="85">
        <f t="shared" si="69"/>
        <v>437.89883563628405</v>
      </c>
      <c r="AB181" s="85">
        <f t="shared" si="70"/>
        <v>442.17030526431898</v>
      </c>
      <c r="AC181" s="85">
        <f t="shared" si="71"/>
        <v>444.10611048698894</v>
      </c>
      <c r="AD181" s="41"/>
    </row>
    <row r="182" spans="17:30" hidden="1" x14ac:dyDescent="0.35">
      <c r="Q182" s="3" t="str">
        <f t="shared" si="62"/>
        <v>Pārgaujas novads</v>
      </c>
      <c r="R182" s="3"/>
      <c r="S182" s="85">
        <f t="shared" si="63"/>
        <v>788.10774104549773</v>
      </c>
      <c r="T182" s="85">
        <f t="shared" si="64"/>
        <v>887.98312450194328</v>
      </c>
      <c r="U182" s="85">
        <f t="shared" si="65"/>
        <v>868.82145879962457</v>
      </c>
      <c r="V182" s="85">
        <f t="shared" si="66"/>
        <v>874.31966872660382</v>
      </c>
      <c r="W182" s="85">
        <f t="shared" si="67"/>
        <v>875.20364958340485</v>
      </c>
      <c r="X182" s="85">
        <f t="shared" si="68"/>
        <v>901.03993663553456</v>
      </c>
      <c r="Y182" s="85">
        <f t="shared" si="72"/>
        <v>943.10681594821904</v>
      </c>
      <c r="Z182" s="85">
        <f t="shared" si="72"/>
        <v>914.56663085787488</v>
      </c>
      <c r="AA182" s="85">
        <f t="shared" si="69"/>
        <v>934.13232966106068</v>
      </c>
      <c r="AB182" s="85">
        <f t="shared" si="70"/>
        <v>953.27824642855614</v>
      </c>
      <c r="AC182" s="85">
        <f t="shared" si="71"/>
        <v>967.51688356094019</v>
      </c>
      <c r="AD182" s="41"/>
    </row>
    <row r="183" spans="17:30" hidden="1" x14ac:dyDescent="0.35">
      <c r="Q183" s="3" t="str">
        <f t="shared" si="62"/>
        <v>Priekuļu novads</v>
      </c>
      <c r="R183" s="3"/>
      <c r="S183" s="85">
        <f t="shared" si="63"/>
        <v>1642.4564365282372</v>
      </c>
      <c r="T183" s="85">
        <f t="shared" si="64"/>
        <v>1815.2016638498333</v>
      </c>
      <c r="U183" s="85">
        <f t="shared" si="65"/>
        <v>1772.6454757289748</v>
      </c>
      <c r="V183" s="85">
        <f t="shared" si="66"/>
        <v>1819.6849723956054</v>
      </c>
      <c r="W183" s="85">
        <f t="shared" si="67"/>
        <v>1847.5999791366407</v>
      </c>
      <c r="X183" s="85">
        <f t="shared" si="68"/>
        <v>1897.1978371221196</v>
      </c>
      <c r="Y183" s="85">
        <f t="shared" si="72"/>
        <v>1980.1859091686729</v>
      </c>
      <c r="Z183" s="85">
        <f t="shared" si="72"/>
        <v>1911.0872808635415</v>
      </c>
      <c r="AA183" s="85">
        <f t="shared" si="69"/>
        <v>1946.8219992852914</v>
      </c>
      <c r="AB183" s="85">
        <f t="shared" si="70"/>
        <v>1986.5349220066266</v>
      </c>
      <c r="AC183" s="85">
        <f t="shared" si="71"/>
        <v>2016.0080015527788</v>
      </c>
      <c r="AD183" s="41"/>
    </row>
    <row r="184" spans="17:30" hidden="1" x14ac:dyDescent="0.35">
      <c r="Q184" s="3" t="str">
        <f t="shared" si="62"/>
        <v>Raunas novads</v>
      </c>
      <c r="R184" s="3"/>
      <c r="S184" s="85">
        <f t="shared" si="63"/>
        <v>696.32810537943976</v>
      </c>
      <c r="T184" s="85">
        <f t="shared" si="64"/>
        <v>769.37491640442624</v>
      </c>
      <c r="U184" s="85">
        <f t="shared" si="65"/>
        <v>746.64692469077295</v>
      </c>
      <c r="V184" s="85">
        <f t="shared" si="66"/>
        <v>734.97855245248195</v>
      </c>
      <c r="W184" s="85">
        <f t="shared" si="67"/>
        <v>733.64039832299898</v>
      </c>
      <c r="X184" s="85">
        <f t="shared" si="68"/>
        <v>760.94371080840574</v>
      </c>
      <c r="Y184" s="85">
        <f t="shared" si="72"/>
        <v>786.92020552345184</v>
      </c>
      <c r="Z184" s="85">
        <f t="shared" si="72"/>
        <v>763.73101279445405</v>
      </c>
      <c r="AA184" s="85">
        <f t="shared" si="69"/>
        <v>779.09177092186712</v>
      </c>
      <c r="AB184" s="85">
        <f t="shared" si="70"/>
        <v>786.05062184320764</v>
      </c>
      <c r="AC184" s="85">
        <f t="shared" si="71"/>
        <v>788.03791033781499</v>
      </c>
      <c r="AD184" s="41"/>
    </row>
    <row r="185" spans="17:30" hidden="1" x14ac:dyDescent="0.35">
      <c r="Q185" s="3" t="str">
        <f t="shared" si="62"/>
        <v>Rūjienas novads</v>
      </c>
      <c r="R185" s="3"/>
      <c r="S185" s="85">
        <f t="shared" si="63"/>
        <v>1087.788203589887</v>
      </c>
      <c r="T185" s="85">
        <f t="shared" si="64"/>
        <v>1199.8370252602438</v>
      </c>
      <c r="U185" s="85">
        <f t="shared" si="65"/>
        <v>1163.5563750257224</v>
      </c>
      <c r="V185" s="85">
        <f t="shared" si="66"/>
        <v>1181.649334719363</v>
      </c>
      <c r="W185" s="85">
        <f t="shared" si="67"/>
        <v>1186.9714732547463</v>
      </c>
      <c r="X185" s="85">
        <f t="shared" si="68"/>
        <v>1226.9479988228557</v>
      </c>
      <c r="Y185" s="85">
        <f t="shared" si="72"/>
        <v>1279.9492724309666</v>
      </c>
      <c r="Z185" s="85">
        <f t="shared" si="72"/>
        <v>1235.092319242644</v>
      </c>
      <c r="AA185" s="85">
        <f t="shared" si="69"/>
        <v>1248.8802198105273</v>
      </c>
      <c r="AB185" s="85">
        <f t="shared" si="70"/>
        <v>1268.6140731426349</v>
      </c>
      <c r="AC185" s="85">
        <f t="shared" si="71"/>
        <v>1281.3963902209173</v>
      </c>
      <c r="AD185" s="41"/>
    </row>
    <row r="186" spans="17:30" hidden="1" x14ac:dyDescent="0.35">
      <c r="Q186" s="3" t="str">
        <f t="shared" si="62"/>
        <v>Smiltenes novads</v>
      </c>
      <c r="R186" s="3"/>
      <c r="S186" s="85">
        <f t="shared" si="63"/>
        <v>2584.9933906292326</v>
      </c>
      <c r="T186" s="85">
        <f t="shared" si="64"/>
        <v>2888.7637907553062</v>
      </c>
      <c r="U186" s="85">
        <f t="shared" si="65"/>
        <v>2830.7482839052691</v>
      </c>
      <c r="V186" s="85">
        <f t="shared" si="66"/>
        <v>2858.3263193599482</v>
      </c>
      <c r="W186" s="85">
        <f t="shared" si="67"/>
        <v>2885.2609585246905</v>
      </c>
      <c r="X186" s="85">
        <f t="shared" si="68"/>
        <v>2969.5484218304773</v>
      </c>
      <c r="Y186" s="85">
        <f t="shared" si="72"/>
        <v>3127.6368737559624</v>
      </c>
      <c r="Z186" s="85">
        <f t="shared" si="72"/>
        <v>3036.0695989198884</v>
      </c>
      <c r="AA186" s="85">
        <f t="shared" si="69"/>
        <v>3096.9221975579708</v>
      </c>
      <c r="AB186" s="85">
        <f t="shared" si="70"/>
        <v>3157.1282941040658</v>
      </c>
      <c r="AC186" s="85">
        <f t="shared" si="71"/>
        <v>3200.8474867993946</v>
      </c>
      <c r="AD186" s="41"/>
    </row>
    <row r="187" spans="17:30" hidden="1" x14ac:dyDescent="0.35">
      <c r="Q187" s="3" t="str">
        <f t="shared" si="62"/>
        <v>Strenču novads</v>
      </c>
      <c r="R187" s="3"/>
      <c r="S187" s="85">
        <f t="shared" si="63"/>
        <v>716.08067914235221</v>
      </c>
      <c r="T187" s="85">
        <f t="shared" si="64"/>
        <v>779.97298823063022</v>
      </c>
      <c r="U187" s="85">
        <f t="shared" si="65"/>
        <v>743.30273123888844</v>
      </c>
      <c r="V187" s="85">
        <f t="shared" si="66"/>
        <v>735.2077319200381</v>
      </c>
      <c r="W187" s="85">
        <f t="shared" si="67"/>
        <v>722.37168180475771</v>
      </c>
      <c r="X187" s="85">
        <f t="shared" si="68"/>
        <v>723.83050010683291</v>
      </c>
      <c r="Y187" s="85">
        <f t="shared" si="72"/>
        <v>758.80661564699381</v>
      </c>
      <c r="Z187" s="85">
        <f t="shared" si="72"/>
        <v>718.22893467865538</v>
      </c>
      <c r="AA187" s="85">
        <f t="shared" si="69"/>
        <v>749.79480915342413</v>
      </c>
      <c r="AB187" s="85">
        <f t="shared" si="70"/>
        <v>742.69531176552482</v>
      </c>
      <c r="AC187" s="85">
        <f t="shared" si="71"/>
        <v>730.15941974803195</v>
      </c>
      <c r="AD187" s="41"/>
    </row>
    <row r="188" spans="17:30" hidden="1" x14ac:dyDescent="0.35">
      <c r="Q188" s="3" t="str">
        <f t="shared" si="62"/>
        <v>Valkas novads</v>
      </c>
      <c r="R188" s="3"/>
      <c r="S188" s="85">
        <f t="shared" si="63"/>
        <v>1778.7292433976233</v>
      </c>
      <c r="T188" s="85">
        <f t="shared" si="64"/>
        <v>1953.6530702602429</v>
      </c>
      <c r="U188" s="85">
        <f t="shared" si="65"/>
        <v>1890.5840314654392</v>
      </c>
      <c r="V188" s="85">
        <f t="shared" si="66"/>
        <v>1895.0850172215694</v>
      </c>
      <c r="W188" s="85">
        <f t="shared" si="67"/>
        <v>1889.622901152582</v>
      </c>
      <c r="X188" s="85">
        <f t="shared" si="68"/>
        <v>1920.3014252409798</v>
      </c>
      <c r="Y188" s="85">
        <f t="shared" si="72"/>
        <v>2002.3123456455148</v>
      </c>
      <c r="Z188" s="85">
        <f t="shared" si="72"/>
        <v>1931.7014819988756</v>
      </c>
      <c r="AA188" s="85">
        <f t="shared" si="69"/>
        <v>1969.3780671955085</v>
      </c>
      <c r="AB188" s="85">
        <f t="shared" si="70"/>
        <v>1977.9177175191371</v>
      </c>
      <c r="AC188" s="85">
        <f t="shared" si="71"/>
        <v>1973.990443480388</v>
      </c>
      <c r="AD188" s="41"/>
    </row>
    <row r="189" spans="17:30" hidden="1" x14ac:dyDescent="0.35">
      <c r="Q189" s="3" t="str">
        <f t="shared" si="62"/>
        <v>Valmiera</v>
      </c>
      <c r="R189" s="3"/>
      <c r="S189" s="85">
        <f t="shared" si="63"/>
        <v>9726.1244842739998</v>
      </c>
      <c r="T189" s="85">
        <f t="shared" si="64"/>
        <v>10627.353063332001</v>
      </c>
      <c r="U189" s="85">
        <f t="shared" si="65"/>
        <v>10931.330406532801</v>
      </c>
      <c r="V189" s="85">
        <f t="shared" si="66"/>
        <v>11137.716831976</v>
      </c>
      <c r="W189" s="85">
        <f t="shared" si="67"/>
        <v>11487.250381273801</v>
      </c>
      <c r="X189" s="85">
        <f t="shared" si="68"/>
        <v>11171.514868532</v>
      </c>
      <c r="Y189" s="85">
        <f t="shared" si="72"/>
        <v>11655.846194258653</v>
      </c>
      <c r="Z189" s="85">
        <f t="shared" si="72"/>
        <v>11223.705223351475</v>
      </c>
      <c r="AA189" s="85">
        <f t="shared" si="69"/>
        <v>11427.938726039281</v>
      </c>
      <c r="AB189" s="85">
        <f t="shared" si="70"/>
        <v>11594.773434252158</v>
      </c>
      <c r="AC189" s="85">
        <f t="shared" si="71"/>
        <v>11697.234819597101</v>
      </c>
      <c r="AD189" s="41"/>
    </row>
    <row r="190" spans="17:30" hidden="1" x14ac:dyDescent="0.35">
      <c r="Q190" s="3" t="str">
        <f t="shared" si="62"/>
        <v>Varakļānu novads</v>
      </c>
      <c r="R190" s="3"/>
      <c r="S190" s="85">
        <f t="shared" si="63"/>
        <v>694.5324168555386</v>
      </c>
      <c r="T190" s="85">
        <f t="shared" si="64"/>
        <v>765.54157127579924</v>
      </c>
      <c r="U190" s="85">
        <f t="shared" si="65"/>
        <v>744.64040861964224</v>
      </c>
      <c r="V190" s="85">
        <f t="shared" si="66"/>
        <v>747.81260263562478</v>
      </c>
      <c r="W190" s="85">
        <f t="shared" si="67"/>
        <v>755.00400672216472</v>
      </c>
      <c r="X190" s="85">
        <f t="shared" si="68"/>
        <v>769.79189349222429</v>
      </c>
      <c r="Y190" s="85">
        <f t="shared" si="72"/>
        <v>795.51046909681406</v>
      </c>
      <c r="Z190" s="85">
        <f t="shared" si="72"/>
        <v>757.94898076868958</v>
      </c>
      <c r="AA190" s="85">
        <f t="shared" si="69"/>
        <v>763.53586201826909</v>
      </c>
      <c r="AB190" s="85">
        <f t="shared" si="70"/>
        <v>775.54840387407955</v>
      </c>
      <c r="AC190" s="85">
        <f t="shared" si="71"/>
        <v>783.30745677999619</v>
      </c>
      <c r="AD190" s="41"/>
    </row>
    <row r="191" spans="17:30" hidden="1" x14ac:dyDescent="0.35">
      <c r="Q191" s="3" t="str">
        <f t="shared" si="62"/>
        <v>Vecpiebalgas novads</v>
      </c>
      <c r="R191" s="3"/>
      <c r="S191" s="85">
        <f t="shared" si="63"/>
        <v>816.04067363951538</v>
      </c>
      <c r="T191" s="85">
        <f t="shared" si="64"/>
        <v>908.72828637451278</v>
      </c>
      <c r="U191" s="85">
        <f t="shared" si="65"/>
        <v>879.96877030590656</v>
      </c>
      <c r="V191" s="85">
        <f t="shared" si="66"/>
        <v>882.11177062351192</v>
      </c>
      <c r="W191" s="85">
        <f t="shared" si="67"/>
        <v>867.69117190457735</v>
      </c>
      <c r="X191" s="85">
        <f t="shared" si="68"/>
        <v>888.50501116679141</v>
      </c>
      <c r="Y191" s="85">
        <f t="shared" si="72"/>
        <v>922.2819345582501</v>
      </c>
      <c r="Z191" s="85">
        <f t="shared" si="72"/>
        <v>916.32637973528142</v>
      </c>
      <c r="AA191" s="85">
        <f t="shared" si="69"/>
        <v>936.98424629338695</v>
      </c>
      <c r="AB191" s="85">
        <f t="shared" si="70"/>
        <v>944.12246666059821</v>
      </c>
      <c r="AC191" s="85">
        <f t="shared" si="71"/>
        <v>945.53418761578223</v>
      </c>
      <c r="AD191" s="41"/>
    </row>
    <row r="192" spans="17:30" hidden="1" x14ac:dyDescent="0.35">
      <c r="Q192" s="3" t="str">
        <f t="shared" si="62"/>
        <v>Aizputes novads</v>
      </c>
      <c r="R192" s="3"/>
      <c r="S192" s="85">
        <f t="shared" si="63"/>
        <v>2001.9953178395322</v>
      </c>
      <c r="T192" s="85">
        <f t="shared" si="64"/>
        <v>2057.9337153541728</v>
      </c>
      <c r="U192" s="85">
        <f t="shared" si="65"/>
        <v>1978.1906090499019</v>
      </c>
      <c r="V192" s="85">
        <f t="shared" si="66"/>
        <v>2049.1136079537964</v>
      </c>
      <c r="W192" s="85">
        <f t="shared" si="67"/>
        <v>2165.2990003096888</v>
      </c>
      <c r="X192" s="85">
        <f t="shared" si="68"/>
        <v>2081.8378312351392</v>
      </c>
      <c r="Y192" s="85">
        <f t="shared" si="72"/>
        <v>2164.0636405018781</v>
      </c>
      <c r="Z192" s="85">
        <f t="shared" si="72"/>
        <v>2089.7216714128081</v>
      </c>
      <c r="AA192" s="85">
        <f t="shared" si="69"/>
        <v>2126.2377665300733</v>
      </c>
      <c r="AB192" s="85">
        <f t="shared" si="70"/>
        <v>2159.2220667891875</v>
      </c>
      <c r="AC192" s="85">
        <f t="shared" si="71"/>
        <v>2180.3194097046439</v>
      </c>
      <c r="AD192" s="41"/>
    </row>
    <row r="193" spans="17:30" hidden="1" x14ac:dyDescent="0.35">
      <c r="Q193" s="3" t="str">
        <f t="shared" si="62"/>
        <v>Alsungas novads</v>
      </c>
      <c r="R193" s="3"/>
      <c r="S193" s="85">
        <f t="shared" si="63"/>
        <v>319.00646703934837</v>
      </c>
      <c r="T193" s="85">
        <f t="shared" si="64"/>
        <v>331.1669904349173</v>
      </c>
      <c r="U193" s="85">
        <f t="shared" si="65"/>
        <v>315.33467324267269</v>
      </c>
      <c r="V193" s="85">
        <f t="shared" si="66"/>
        <v>326.02751625514009</v>
      </c>
      <c r="W193" s="85">
        <f t="shared" si="67"/>
        <v>341.26167745682346</v>
      </c>
      <c r="X193" s="85">
        <f t="shared" si="68"/>
        <v>329.40629717448883</v>
      </c>
      <c r="Y193" s="85">
        <f t="shared" si="72"/>
        <v>340.512455152212</v>
      </c>
      <c r="Z193" s="85">
        <f t="shared" si="72"/>
        <v>332.73386788600715</v>
      </c>
      <c r="AA193" s="85">
        <f t="shared" si="69"/>
        <v>342.75489419629906</v>
      </c>
      <c r="AB193" s="85">
        <f t="shared" si="70"/>
        <v>347.27986425328243</v>
      </c>
      <c r="AC193" s="85">
        <f t="shared" si="71"/>
        <v>350.12428477008882</v>
      </c>
      <c r="AD193" s="41"/>
    </row>
    <row r="194" spans="17:30" hidden="1" x14ac:dyDescent="0.35">
      <c r="Q194" s="3" t="str">
        <f t="shared" si="62"/>
        <v>Brocēnu novads</v>
      </c>
      <c r="R194" s="3"/>
      <c r="S194" s="85">
        <f t="shared" si="63"/>
        <v>1308.626666229316</v>
      </c>
      <c r="T194" s="85">
        <f t="shared" si="64"/>
        <v>1329.2294905335389</v>
      </c>
      <c r="U194" s="85">
        <f t="shared" si="65"/>
        <v>1288.2846643424164</v>
      </c>
      <c r="V194" s="85">
        <f t="shared" si="66"/>
        <v>1338.552914060539</v>
      </c>
      <c r="W194" s="85">
        <f t="shared" si="67"/>
        <v>1410.2099652825466</v>
      </c>
      <c r="X194" s="85">
        <f t="shared" si="68"/>
        <v>1400.8488674092105</v>
      </c>
      <c r="Y194" s="85">
        <f t="shared" si="72"/>
        <v>1488.3220886947731</v>
      </c>
      <c r="Z194" s="85">
        <f t="shared" si="72"/>
        <v>1449.4958152735253</v>
      </c>
      <c r="AA194" s="85">
        <f t="shared" si="69"/>
        <v>1492.0228395099068</v>
      </c>
      <c r="AB194" s="85">
        <f t="shared" si="70"/>
        <v>1509.7706774579319</v>
      </c>
      <c r="AC194" s="85">
        <f t="shared" si="71"/>
        <v>1518.8804698160154</v>
      </c>
      <c r="AD194" s="41"/>
    </row>
    <row r="195" spans="17:30" hidden="1" x14ac:dyDescent="0.35">
      <c r="Q195" s="3" t="str">
        <f t="shared" si="62"/>
        <v>Dundagas novads</v>
      </c>
      <c r="R195" s="3"/>
      <c r="S195" s="85">
        <f t="shared" si="63"/>
        <v>917.41708936624673</v>
      </c>
      <c r="T195" s="85">
        <f t="shared" si="64"/>
        <v>944.2364603309627</v>
      </c>
      <c r="U195" s="85">
        <f t="shared" si="65"/>
        <v>899.46097826776463</v>
      </c>
      <c r="V195" s="85">
        <f t="shared" si="66"/>
        <v>934.91103250298136</v>
      </c>
      <c r="W195" s="85">
        <f t="shared" si="67"/>
        <v>975.83078921854508</v>
      </c>
      <c r="X195" s="85">
        <f t="shared" si="68"/>
        <v>931.90586341345556</v>
      </c>
      <c r="Y195" s="85">
        <f t="shared" si="72"/>
        <v>961.83541443693105</v>
      </c>
      <c r="Z195" s="85">
        <f t="shared" si="72"/>
        <v>909.72754070289159</v>
      </c>
      <c r="AA195" s="85">
        <f t="shared" si="69"/>
        <v>917.25734156753254</v>
      </c>
      <c r="AB195" s="85">
        <f t="shared" si="70"/>
        <v>932.3295886173803</v>
      </c>
      <c r="AC195" s="85">
        <f t="shared" si="71"/>
        <v>942.04093844838894</v>
      </c>
      <c r="AD195" s="41"/>
    </row>
    <row r="196" spans="17:30" hidden="1" x14ac:dyDescent="0.35">
      <c r="Q196" s="3" t="str">
        <f t="shared" si="62"/>
        <v>Durbes novads</v>
      </c>
      <c r="R196" s="3"/>
      <c r="S196" s="85">
        <f t="shared" si="63"/>
        <v>649.60919111099133</v>
      </c>
      <c r="T196" s="85">
        <f t="shared" si="64"/>
        <v>666.21128034462367</v>
      </c>
      <c r="U196" s="85">
        <f t="shared" si="65"/>
        <v>635.56861400747721</v>
      </c>
      <c r="V196" s="85">
        <f t="shared" si="66"/>
        <v>655.12186153438779</v>
      </c>
      <c r="W196" s="85">
        <f t="shared" si="67"/>
        <v>692.41867492912365</v>
      </c>
      <c r="X196" s="85">
        <f t="shared" si="68"/>
        <v>668.03198390681132</v>
      </c>
      <c r="Y196" s="85">
        <f t="shared" ref="Y196:Z215" si="73">((-0.0000000006)*$Z$130 + 0.0461)*Y66</f>
        <v>693.70497069798978</v>
      </c>
      <c r="Z196" s="85">
        <f t="shared" si="73"/>
        <v>680.0009391969204</v>
      </c>
      <c r="AA196" s="85">
        <f t="shared" si="69"/>
        <v>689.19249638856763</v>
      </c>
      <c r="AB196" s="85">
        <f t="shared" si="70"/>
        <v>696.46188738745138</v>
      </c>
      <c r="AC196" s="85">
        <f t="shared" si="71"/>
        <v>699.69015760274522</v>
      </c>
      <c r="AD196" s="41"/>
    </row>
    <row r="197" spans="17:30" hidden="1" x14ac:dyDescent="0.35">
      <c r="Q197" s="3" t="str">
        <f t="shared" si="62"/>
        <v>Grobiņas novads</v>
      </c>
      <c r="R197" s="3"/>
      <c r="S197" s="85">
        <f t="shared" si="63"/>
        <v>2000.6825340245555</v>
      </c>
      <c r="T197" s="85">
        <f t="shared" si="64"/>
        <v>2064.3198556655902</v>
      </c>
      <c r="U197" s="85">
        <f t="shared" si="65"/>
        <v>1988.4345320507232</v>
      </c>
      <c r="V197" s="85">
        <f t="shared" si="66"/>
        <v>2067.7504920233737</v>
      </c>
      <c r="W197" s="85">
        <f t="shared" si="67"/>
        <v>2185.8508188033711</v>
      </c>
      <c r="X197" s="85">
        <f t="shared" si="68"/>
        <v>2112.7352448884199</v>
      </c>
      <c r="Y197" s="85">
        <f t="shared" si="73"/>
        <v>2217.4255613248006</v>
      </c>
      <c r="Z197" s="85">
        <f t="shared" si="73"/>
        <v>2141.2253046028263</v>
      </c>
      <c r="AA197" s="85">
        <f t="shared" si="69"/>
        <v>2190.9482070306794</v>
      </c>
      <c r="AB197" s="85">
        <f t="shared" si="70"/>
        <v>2224.438942705297</v>
      </c>
      <c r="AC197" s="85">
        <f t="shared" si="71"/>
        <v>2245.65360638423</v>
      </c>
      <c r="AD197" s="41"/>
    </row>
    <row r="198" spans="17:30" hidden="1" x14ac:dyDescent="0.35">
      <c r="Q198" s="3" t="str">
        <f t="shared" si="62"/>
        <v>Kuldīgas novads</v>
      </c>
      <c r="R198" s="3"/>
      <c r="S198" s="85">
        <f t="shared" si="63"/>
        <v>5369.06700595238</v>
      </c>
      <c r="T198" s="85">
        <f t="shared" si="64"/>
        <v>5517.1690761850214</v>
      </c>
      <c r="U198" s="85">
        <f t="shared" si="65"/>
        <v>5321.9406929049364</v>
      </c>
      <c r="V198" s="85">
        <f t="shared" si="66"/>
        <v>5547.42188476094</v>
      </c>
      <c r="W198" s="85">
        <f t="shared" si="67"/>
        <v>5832.9105598921305</v>
      </c>
      <c r="X198" s="85">
        <f t="shared" si="68"/>
        <v>5638.777991723663</v>
      </c>
      <c r="Y198" s="85">
        <f t="shared" si="73"/>
        <v>5894.3789075339855</v>
      </c>
      <c r="Z198" s="85">
        <f t="shared" si="73"/>
        <v>5663.8698400151434</v>
      </c>
      <c r="AA198" s="85">
        <f t="shared" si="69"/>
        <v>5762.6488619787606</v>
      </c>
      <c r="AB198" s="85">
        <f t="shared" si="70"/>
        <v>5861.3667229603298</v>
      </c>
      <c r="AC198" s="85">
        <f t="shared" si="71"/>
        <v>5928.6595397193505</v>
      </c>
      <c r="AD198" s="41"/>
    </row>
    <row r="199" spans="17:30" hidden="1" x14ac:dyDescent="0.35">
      <c r="Q199" s="3" t="str">
        <f t="shared" si="62"/>
        <v>Liepāja</v>
      </c>
      <c r="R199" s="3"/>
      <c r="S199" s="85">
        <f t="shared" si="63"/>
        <v>23295.340365373999</v>
      </c>
      <c r="T199" s="85">
        <f t="shared" si="64"/>
        <v>22499.730435345202</v>
      </c>
      <c r="U199" s="85">
        <f t="shared" si="65"/>
        <v>23450.784833752401</v>
      </c>
      <c r="V199" s="85">
        <f t="shared" si="66"/>
        <v>24616.821287394403</v>
      </c>
      <c r="W199" s="85">
        <f t="shared" si="67"/>
        <v>24983.870055864001</v>
      </c>
      <c r="X199" s="85">
        <f t="shared" si="68"/>
        <v>25672.241581497601</v>
      </c>
      <c r="Y199" s="85">
        <f t="shared" si="73"/>
        <v>26785.239321362355</v>
      </c>
      <c r="Z199" s="85">
        <f t="shared" si="73"/>
        <v>25792.175485978514</v>
      </c>
      <c r="AA199" s="85">
        <f t="shared" si="69"/>
        <v>26261.50591087959</v>
      </c>
      <c r="AB199" s="85">
        <f t="shared" si="70"/>
        <v>26644.893569923403</v>
      </c>
      <c r="AC199" s="85">
        <f t="shared" si="71"/>
        <v>26880.350754406027</v>
      </c>
      <c r="AD199" s="41"/>
    </row>
    <row r="200" spans="17:30" hidden="1" x14ac:dyDescent="0.35">
      <c r="Q200" s="3" t="str">
        <f t="shared" ref="Q200:Q231" si="74">Q70</f>
        <v>Mērsraga novads</v>
      </c>
      <c r="R200" s="3"/>
      <c r="S200" s="85">
        <f t="shared" ref="S200:S231" si="75">((-0.0000000006)*$S$130 + 0.0461)*S70</f>
        <v>351.38846780877469</v>
      </c>
      <c r="T200" s="85">
        <f t="shared" ref="T200:T231" si="76">((-0.0000000006)*$T$130 + 0.0461)*T70</f>
        <v>368.34345010495281</v>
      </c>
      <c r="U200" s="85">
        <f t="shared" ref="U200:U231" si="77">((-0.0000000006)*$U$130 + 0.0461)*U70</f>
        <v>352.30187363694074</v>
      </c>
      <c r="V200" s="85">
        <f t="shared" ref="V200:V231" si="78">((-0.0000000006)*$V$130 + 0.0461)*V70</f>
        <v>366.60402334333406</v>
      </c>
      <c r="W200" s="85">
        <f t="shared" ref="W200:W231" si="79">((-0.0000000006)*$W$130 + 0.0461)*W70</f>
        <v>385.91748060358992</v>
      </c>
      <c r="X200" s="85">
        <f t="shared" ref="X200:X231" si="80">((-0.0000000006)*$X$130 + 0.0461)*X70</f>
        <v>368.27723693184157</v>
      </c>
      <c r="Y200" s="85">
        <f t="shared" si="73"/>
        <v>380.13764388210484</v>
      </c>
      <c r="Z200" s="85">
        <f t="shared" si="73"/>
        <v>370.72417157567384</v>
      </c>
      <c r="AA200" s="85">
        <f t="shared" ref="AA200:AA231" si="81">((-0.0000000006)*$AA$130 + 0.0461)*AA70</f>
        <v>376.42536730230546</v>
      </c>
      <c r="AB200" s="85">
        <f t="shared" ref="AB200:AB231" si="82">((-0.0000000006)*$AB$130 + 0.0461)*AB70</f>
        <v>382.60567204117496</v>
      </c>
      <c r="AC200" s="85">
        <f t="shared" ref="AC200:AC231" si="83">((-0.0000000006)*$AC$130 + 0.0461)*AC70</f>
        <v>386.70026667190831</v>
      </c>
      <c r="AD200" s="41"/>
    </row>
    <row r="201" spans="17:30" hidden="1" x14ac:dyDescent="0.35">
      <c r="Q201" s="3" t="str">
        <f t="shared" si="74"/>
        <v>Nīcas novads</v>
      </c>
      <c r="R201" s="3"/>
      <c r="S201" s="85">
        <f t="shared" si="75"/>
        <v>771.69808590382843</v>
      </c>
      <c r="T201" s="85">
        <f t="shared" si="76"/>
        <v>794.1621630126599</v>
      </c>
      <c r="U201" s="85">
        <f t="shared" si="77"/>
        <v>761.39071173495608</v>
      </c>
      <c r="V201" s="85">
        <f t="shared" si="78"/>
        <v>782.27731107239117</v>
      </c>
      <c r="W201" s="85">
        <f t="shared" si="79"/>
        <v>831.71433360852598</v>
      </c>
      <c r="X201" s="85">
        <f t="shared" si="80"/>
        <v>799.59516462400506</v>
      </c>
      <c r="Y201" s="85">
        <f t="shared" si="73"/>
        <v>832.65729917748047</v>
      </c>
      <c r="Z201" s="85">
        <f t="shared" si="73"/>
        <v>793.46191330364309</v>
      </c>
      <c r="AA201" s="85">
        <f t="shared" si="81"/>
        <v>818.87642796092018</v>
      </c>
      <c r="AB201" s="85">
        <f t="shared" si="82"/>
        <v>830.97169396442689</v>
      </c>
      <c r="AC201" s="85">
        <f t="shared" si="83"/>
        <v>838.45552405468641</v>
      </c>
      <c r="AD201" s="41"/>
    </row>
    <row r="202" spans="17:30" hidden="1" x14ac:dyDescent="0.35">
      <c r="Q202" s="3" t="str">
        <f t="shared" si="74"/>
        <v>Pāvilostas novads</v>
      </c>
      <c r="R202" s="3"/>
      <c r="S202" s="85">
        <f t="shared" si="75"/>
        <v>616.78959573657278</v>
      </c>
      <c r="T202" s="85">
        <f t="shared" si="76"/>
        <v>625.38559763949263</v>
      </c>
      <c r="U202" s="85">
        <f t="shared" si="77"/>
        <v>601.49643533083247</v>
      </c>
      <c r="V202" s="85">
        <f t="shared" si="78"/>
        <v>627.04858046755601</v>
      </c>
      <c r="W202" s="85">
        <f t="shared" si="79"/>
        <v>663.74761949966557</v>
      </c>
      <c r="X202" s="85">
        <f t="shared" si="80"/>
        <v>641.61967868707166</v>
      </c>
      <c r="Y202" s="85">
        <f t="shared" si="73"/>
        <v>668.87318576059022</v>
      </c>
      <c r="Z202" s="85">
        <f t="shared" si="73"/>
        <v>662.15314551721121</v>
      </c>
      <c r="AA202" s="85">
        <f t="shared" si="81"/>
        <v>668.93760241073562</v>
      </c>
      <c r="AB202" s="85">
        <f t="shared" si="82"/>
        <v>678.79898349350503</v>
      </c>
      <c r="AC202" s="85">
        <f t="shared" si="83"/>
        <v>684.89224126078773</v>
      </c>
      <c r="AD202" s="41"/>
    </row>
    <row r="203" spans="17:30" hidden="1" x14ac:dyDescent="0.35">
      <c r="Q203" s="3" t="str">
        <f t="shared" si="74"/>
        <v>Priekules novads</v>
      </c>
      <c r="R203" s="3"/>
      <c r="S203" s="85">
        <f t="shared" si="75"/>
        <v>1257.4280974452231</v>
      </c>
      <c r="T203" s="85">
        <f t="shared" si="76"/>
        <v>1291.5968779841162</v>
      </c>
      <c r="U203" s="85">
        <f t="shared" si="77"/>
        <v>1237.0650493383098</v>
      </c>
      <c r="V203" s="85">
        <f t="shared" si="78"/>
        <v>1273.677684704415</v>
      </c>
      <c r="W203" s="85">
        <f t="shared" si="79"/>
        <v>1353.8827590406024</v>
      </c>
      <c r="X203" s="85">
        <f t="shared" si="80"/>
        <v>1296.4455099840131</v>
      </c>
      <c r="Y203" s="85">
        <f t="shared" si="73"/>
        <v>1338.5388752957783</v>
      </c>
      <c r="Z203" s="85">
        <f t="shared" si="73"/>
        <v>1291.6703254486683</v>
      </c>
      <c r="AA203" s="85">
        <f t="shared" si="81"/>
        <v>1303.415580002043</v>
      </c>
      <c r="AB203" s="85">
        <f t="shared" si="82"/>
        <v>1322.815633165085</v>
      </c>
      <c r="AC203" s="85">
        <f t="shared" si="83"/>
        <v>1334.883736432053</v>
      </c>
      <c r="AD203" s="41"/>
    </row>
    <row r="204" spans="17:30" hidden="1" x14ac:dyDescent="0.35">
      <c r="Q204" s="3" t="str">
        <f t="shared" si="74"/>
        <v>Rojas novads</v>
      </c>
      <c r="R204" s="3"/>
      <c r="S204" s="85">
        <f t="shared" si="75"/>
        <v>860.52979071725463</v>
      </c>
      <c r="T204" s="85">
        <f t="shared" si="76"/>
        <v>878.3223692595501</v>
      </c>
      <c r="U204" s="85">
        <f t="shared" si="77"/>
        <v>846.01442348087107</v>
      </c>
      <c r="V204" s="85">
        <f t="shared" si="78"/>
        <v>884.66221849260148</v>
      </c>
      <c r="W204" s="85">
        <f t="shared" si="79"/>
        <v>923.05574913600287</v>
      </c>
      <c r="X204" s="85">
        <f t="shared" si="80"/>
        <v>878.83208028322406</v>
      </c>
      <c r="Y204" s="85">
        <f t="shared" si="73"/>
        <v>905.30347851561714</v>
      </c>
      <c r="Z204" s="85">
        <f t="shared" si="73"/>
        <v>876.07170119258285</v>
      </c>
      <c r="AA204" s="85">
        <f t="shared" si="81"/>
        <v>891.74143616688707</v>
      </c>
      <c r="AB204" s="85">
        <f t="shared" si="82"/>
        <v>904.34067937004988</v>
      </c>
      <c r="AC204" s="85">
        <f t="shared" si="83"/>
        <v>911.88669382704154</v>
      </c>
      <c r="AD204" s="41"/>
    </row>
    <row r="205" spans="17:30" hidden="1" x14ac:dyDescent="0.35">
      <c r="Q205" s="3" t="str">
        <f t="shared" si="74"/>
        <v>Rucavas novads</v>
      </c>
      <c r="R205" s="3"/>
      <c r="S205" s="85">
        <f t="shared" si="75"/>
        <v>378.08173871330183</v>
      </c>
      <c r="T205" s="85">
        <f t="shared" si="76"/>
        <v>390.23878831552588</v>
      </c>
      <c r="U205" s="85">
        <f t="shared" si="77"/>
        <v>374.3485774865344</v>
      </c>
      <c r="V205" s="85">
        <f t="shared" si="78"/>
        <v>389.25137613674468</v>
      </c>
      <c r="W205" s="85">
        <f t="shared" si="79"/>
        <v>412.55872679910408</v>
      </c>
      <c r="X205" s="85">
        <f t="shared" si="80"/>
        <v>383.2275983769772</v>
      </c>
      <c r="Y205" s="85">
        <f t="shared" si="73"/>
        <v>390.4401929518769</v>
      </c>
      <c r="Z205" s="85">
        <f t="shared" si="73"/>
        <v>383.21762715147025</v>
      </c>
      <c r="AA205" s="85">
        <f t="shared" si="81"/>
        <v>395.89110956671539</v>
      </c>
      <c r="AB205" s="85">
        <f t="shared" si="82"/>
        <v>397.55120610528337</v>
      </c>
      <c r="AC205" s="85">
        <f t="shared" si="83"/>
        <v>396.75168154569076</v>
      </c>
      <c r="AD205" s="41"/>
    </row>
    <row r="206" spans="17:30" hidden="1" x14ac:dyDescent="0.35">
      <c r="Q206" s="3" t="str">
        <f t="shared" si="74"/>
        <v>Saldus novads</v>
      </c>
      <c r="R206" s="3"/>
      <c r="S206" s="85">
        <f t="shared" si="75"/>
        <v>5450.0220078759457</v>
      </c>
      <c r="T206" s="85">
        <f t="shared" si="76"/>
        <v>5586.5043138518358</v>
      </c>
      <c r="U206" s="85">
        <f t="shared" si="77"/>
        <v>5364.0298547996154</v>
      </c>
      <c r="V206" s="85">
        <f t="shared" si="78"/>
        <v>5581.8647338009187</v>
      </c>
      <c r="W206" s="85">
        <f t="shared" si="79"/>
        <v>5836.9701783600176</v>
      </c>
      <c r="X206" s="85">
        <f t="shared" si="80"/>
        <v>5586.9500720471933</v>
      </c>
      <c r="Y206" s="85">
        <f t="shared" si="73"/>
        <v>5813.2793546001385</v>
      </c>
      <c r="Z206" s="85">
        <f t="shared" si="73"/>
        <v>5552.7035822386697</v>
      </c>
      <c r="AA206" s="85">
        <f t="shared" si="81"/>
        <v>5639.2781441137831</v>
      </c>
      <c r="AB206" s="85">
        <f t="shared" si="82"/>
        <v>5705.3896947276353</v>
      </c>
      <c r="AC206" s="85">
        <f t="shared" si="83"/>
        <v>5738.7994809923484</v>
      </c>
      <c r="AD206" s="41"/>
    </row>
    <row r="207" spans="17:30" hidden="1" x14ac:dyDescent="0.35">
      <c r="Q207" s="3" t="str">
        <f t="shared" si="74"/>
        <v>Skrundas novads</v>
      </c>
      <c r="R207" s="3"/>
      <c r="S207" s="85">
        <f t="shared" si="75"/>
        <v>1148.2482434996573</v>
      </c>
      <c r="T207" s="85">
        <f t="shared" si="76"/>
        <v>1172.7690529038189</v>
      </c>
      <c r="U207" s="85">
        <f t="shared" si="77"/>
        <v>1131.7307976124735</v>
      </c>
      <c r="V207" s="85">
        <f t="shared" si="78"/>
        <v>1161.1486505121561</v>
      </c>
      <c r="W207" s="85">
        <f t="shared" si="79"/>
        <v>1218.3929926748449</v>
      </c>
      <c r="X207" s="85">
        <f t="shared" si="80"/>
        <v>1182.8227630009824</v>
      </c>
      <c r="Y207" s="85">
        <f t="shared" si="73"/>
        <v>1231.2866978002019</v>
      </c>
      <c r="Z207" s="85">
        <f t="shared" si="73"/>
        <v>1170.8152653889233</v>
      </c>
      <c r="AA207" s="85">
        <f t="shared" si="81"/>
        <v>1190.5668849826936</v>
      </c>
      <c r="AB207" s="85">
        <f t="shared" si="82"/>
        <v>1207.8708893629423</v>
      </c>
      <c r="AC207" s="85">
        <f t="shared" si="83"/>
        <v>1218.7340534461225</v>
      </c>
      <c r="AD207" s="41"/>
    </row>
    <row r="208" spans="17:30" hidden="1" x14ac:dyDescent="0.35">
      <c r="Q208" s="3" t="str">
        <f t="shared" si="74"/>
        <v>Talsu novads</v>
      </c>
      <c r="R208" s="3"/>
      <c r="S208" s="85">
        <f t="shared" si="75"/>
        <v>6635.6845901024408</v>
      </c>
      <c r="T208" s="85">
        <f t="shared" si="76"/>
        <v>6784.58985156163</v>
      </c>
      <c r="U208" s="85">
        <f t="shared" si="77"/>
        <v>6557.669578373575</v>
      </c>
      <c r="V208" s="85">
        <f t="shared" si="78"/>
        <v>6842.3314627091768</v>
      </c>
      <c r="W208" s="85">
        <f t="shared" si="79"/>
        <v>7212.1659343570318</v>
      </c>
      <c r="X208" s="85">
        <f t="shared" si="80"/>
        <v>6994.5266021067146</v>
      </c>
      <c r="Y208" s="85">
        <f t="shared" si="73"/>
        <v>7325.3765565328467</v>
      </c>
      <c r="Z208" s="85">
        <f t="shared" si="73"/>
        <v>7059.8222742495418</v>
      </c>
      <c r="AA208" s="85">
        <f t="shared" si="81"/>
        <v>7205.2181941142208</v>
      </c>
      <c r="AB208" s="85">
        <f t="shared" si="82"/>
        <v>7309.4531052809416</v>
      </c>
      <c r="AC208" s="85">
        <f t="shared" si="83"/>
        <v>7372.9920158881459</v>
      </c>
      <c r="AD208" s="41"/>
    </row>
    <row r="209" spans="17:30" hidden="1" x14ac:dyDescent="0.35">
      <c r="Q209" s="3" t="str">
        <f t="shared" si="74"/>
        <v>Vaiņodes novads</v>
      </c>
      <c r="R209" s="3"/>
      <c r="S209" s="85">
        <f t="shared" si="75"/>
        <v>565.15343234748752</v>
      </c>
      <c r="T209" s="85">
        <f t="shared" si="76"/>
        <v>574.75262802754253</v>
      </c>
      <c r="U209" s="85">
        <f t="shared" si="77"/>
        <v>549.83143237016861</v>
      </c>
      <c r="V209" s="85">
        <f t="shared" si="78"/>
        <v>573.02520765827444</v>
      </c>
      <c r="W209" s="85">
        <f t="shared" si="79"/>
        <v>608.18159172045046</v>
      </c>
      <c r="X209" s="85">
        <f t="shared" si="80"/>
        <v>582.31657828803361</v>
      </c>
      <c r="Y209" s="85">
        <f t="shared" si="73"/>
        <v>603.6237083187001</v>
      </c>
      <c r="Z209" s="85">
        <f t="shared" si="73"/>
        <v>580.30826307168763</v>
      </c>
      <c r="AA209" s="85">
        <f t="shared" si="81"/>
        <v>582.9200656477351</v>
      </c>
      <c r="AB209" s="85">
        <f t="shared" si="82"/>
        <v>592.65835988764388</v>
      </c>
      <c r="AC209" s="85">
        <f t="shared" si="83"/>
        <v>598.89680289620458</v>
      </c>
      <c r="AD209" s="41"/>
    </row>
    <row r="210" spans="17:30" hidden="1" x14ac:dyDescent="0.35">
      <c r="Q210" s="3" t="str">
        <f t="shared" si="74"/>
        <v>Ventspils</v>
      </c>
      <c r="R210" s="3"/>
      <c r="S210" s="85">
        <f t="shared" si="75"/>
        <v>16843.578167481999</v>
      </c>
      <c r="T210" s="85">
        <f t="shared" si="76"/>
        <v>15377.561838178</v>
      </c>
      <c r="U210" s="85">
        <f t="shared" si="77"/>
        <v>15780.5537648196</v>
      </c>
      <c r="V210" s="85">
        <f t="shared" si="78"/>
        <v>14627.088082420802</v>
      </c>
      <c r="W210" s="85">
        <f t="shared" si="79"/>
        <v>14457.188044453402</v>
      </c>
      <c r="X210" s="85">
        <f t="shared" si="80"/>
        <v>13449.7309171624</v>
      </c>
      <c r="Y210" s="85">
        <f t="shared" si="73"/>
        <v>14032.832321263382</v>
      </c>
      <c r="Z210" s="85">
        <f t="shared" si="73"/>
        <v>13512.564493186223</v>
      </c>
      <c r="AA210" s="85">
        <f t="shared" si="81"/>
        <v>13758.447499004709</v>
      </c>
      <c r="AB210" s="85">
        <f t="shared" si="82"/>
        <v>13959.304943989817</v>
      </c>
      <c r="AC210" s="85">
        <f t="shared" si="83"/>
        <v>14082.661362390239</v>
      </c>
      <c r="AD210" s="41"/>
    </row>
    <row r="211" spans="17:30" hidden="1" x14ac:dyDescent="0.35">
      <c r="Q211" s="3" t="str">
        <f t="shared" si="74"/>
        <v>Ventspils novads</v>
      </c>
      <c r="R211" s="3"/>
      <c r="S211" s="85">
        <f t="shared" si="75"/>
        <v>2644.8217925731437</v>
      </c>
      <c r="T211" s="85">
        <f t="shared" si="76"/>
        <v>2704.7584983248516</v>
      </c>
      <c r="U211" s="85">
        <f t="shared" si="77"/>
        <v>2604.8514639262303</v>
      </c>
      <c r="V211" s="85">
        <f t="shared" si="78"/>
        <v>2701.1686404640768</v>
      </c>
      <c r="W211" s="85">
        <f t="shared" si="79"/>
        <v>2854.9266875421395</v>
      </c>
      <c r="X211" s="85">
        <f t="shared" si="80"/>
        <v>2756.0991324107576</v>
      </c>
      <c r="Y211" s="85">
        <f t="shared" si="73"/>
        <v>2886.0345791605246</v>
      </c>
      <c r="Z211" s="85">
        <f t="shared" si="73"/>
        <v>2788.3353097328541</v>
      </c>
      <c r="AA211" s="85">
        <f t="shared" si="81"/>
        <v>2834.8960051830509</v>
      </c>
      <c r="AB211" s="85">
        <f t="shared" si="82"/>
        <v>2883.1293894580017</v>
      </c>
      <c r="AC211" s="85">
        <f t="shared" si="83"/>
        <v>2915.7479313030603</v>
      </c>
      <c r="AD211" s="41"/>
    </row>
    <row r="212" spans="17:30" hidden="1" x14ac:dyDescent="0.35">
      <c r="Q212" s="3" t="str">
        <f t="shared" si="74"/>
        <v>Aizkraukles novads</v>
      </c>
      <c r="R212" s="3"/>
      <c r="S212" s="85">
        <f t="shared" si="75"/>
        <v>1749.0184207268187</v>
      </c>
      <c r="T212" s="85">
        <f t="shared" si="76"/>
        <v>1859.1376438038033</v>
      </c>
      <c r="U212" s="85">
        <f t="shared" si="77"/>
        <v>1881.1004547777568</v>
      </c>
      <c r="V212" s="85">
        <f t="shared" si="78"/>
        <v>1887.0087741296052</v>
      </c>
      <c r="W212" s="85">
        <f t="shared" si="79"/>
        <v>1865.1102410313617</v>
      </c>
      <c r="X212" s="85">
        <f t="shared" si="80"/>
        <v>1818.2898385364736</v>
      </c>
      <c r="Y212" s="85">
        <f t="shared" si="73"/>
        <v>1898.6433198104137</v>
      </c>
      <c r="Z212" s="85">
        <f t="shared" si="73"/>
        <v>1824.8023099995542</v>
      </c>
      <c r="AA212" s="85">
        <f t="shared" si="81"/>
        <v>1878.4328601427428</v>
      </c>
      <c r="AB212" s="85">
        <f t="shared" si="82"/>
        <v>1902.5712896043524</v>
      </c>
      <c r="AC212" s="85">
        <f t="shared" si="83"/>
        <v>1915.9722287100433</v>
      </c>
      <c r="AD212" s="41"/>
    </row>
    <row r="213" spans="17:30" hidden="1" x14ac:dyDescent="0.35">
      <c r="Q213" s="3" t="str">
        <f t="shared" si="74"/>
        <v>Aknīstes novads</v>
      </c>
      <c r="R213" s="3"/>
      <c r="S213" s="85">
        <f t="shared" si="75"/>
        <v>580.2022632366419</v>
      </c>
      <c r="T213" s="85">
        <f t="shared" si="76"/>
        <v>622.74186904880651</v>
      </c>
      <c r="U213" s="85">
        <f t="shared" si="77"/>
        <v>628.8072713047759</v>
      </c>
      <c r="V213" s="85">
        <f t="shared" si="78"/>
        <v>623.83426902272049</v>
      </c>
      <c r="W213" s="85">
        <f t="shared" si="79"/>
        <v>630.51389083315541</v>
      </c>
      <c r="X213" s="85">
        <f t="shared" si="80"/>
        <v>571.87787418668665</v>
      </c>
      <c r="Y213" s="85">
        <f t="shared" si="73"/>
        <v>588.77789359974497</v>
      </c>
      <c r="Z213" s="85">
        <f t="shared" si="73"/>
        <v>585.97491280962993</v>
      </c>
      <c r="AA213" s="85">
        <f t="shared" si="81"/>
        <v>596.54360258493489</v>
      </c>
      <c r="AB213" s="85">
        <f t="shared" si="82"/>
        <v>598.82784905875587</v>
      </c>
      <c r="AC213" s="85">
        <f t="shared" si="83"/>
        <v>597.42438493869895</v>
      </c>
      <c r="AD213" s="41"/>
    </row>
    <row r="214" spans="17:30" hidden="1" x14ac:dyDescent="0.35">
      <c r="Q214" s="3" t="str">
        <f t="shared" si="74"/>
        <v>Auces novads</v>
      </c>
      <c r="R214" s="3"/>
      <c r="S214" s="85">
        <f t="shared" si="75"/>
        <v>1420.5642572100453</v>
      </c>
      <c r="T214" s="85">
        <f t="shared" si="76"/>
        <v>1488.4785674728075</v>
      </c>
      <c r="U214" s="85">
        <f t="shared" si="77"/>
        <v>1499.2929367288064</v>
      </c>
      <c r="V214" s="85">
        <f t="shared" si="78"/>
        <v>1484.3030788526903</v>
      </c>
      <c r="W214" s="85">
        <f t="shared" si="79"/>
        <v>1448.7587179910515</v>
      </c>
      <c r="X214" s="85">
        <f t="shared" si="80"/>
        <v>1406.5467151975256</v>
      </c>
      <c r="Y214" s="85">
        <f t="shared" si="73"/>
        <v>1453.7521586353253</v>
      </c>
      <c r="Z214" s="85">
        <f t="shared" si="73"/>
        <v>1401.9267809183809</v>
      </c>
      <c r="AA214" s="85">
        <f t="shared" si="81"/>
        <v>1411.694896140704</v>
      </c>
      <c r="AB214" s="85">
        <f t="shared" si="82"/>
        <v>1420.4641229892522</v>
      </c>
      <c r="AC214" s="85">
        <f t="shared" si="83"/>
        <v>1420.9280391985985</v>
      </c>
      <c r="AD214" s="41"/>
    </row>
    <row r="215" spans="17:30" hidden="1" x14ac:dyDescent="0.35">
      <c r="Q215" s="3" t="str">
        <f t="shared" si="74"/>
        <v>Bauskas novads</v>
      </c>
      <c r="R215" s="3"/>
      <c r="S215" s="85">
        <f t="shared" si="75"/>
        <v>4996.1082701764826</v>
      </c>
      <c r="T215" s="85">
        <f t="shared" si="76"/>
        <v>5326.1956590119435</v>
      </c>
      <c r="U215" s="85">
        <f t="shared" si="77"/>
        <v>5389.6499121567322</v>
      </c>
      <c r="V215" s="85">
        <f t="shared" si="78"/>
        <v>5377.6491562369238</v>
      </c>
      <c r="W215" s="85">
        <f t="shared" si="79"/>
        <v>5283.3494679021869</v>
      </c>
      <c r="X215" s="85">
        <f t="shared" si="80"/>
        <v>5157.6361582398049</v>
      </c>
      <c r="Y215" s="85">
        <f t="shared" si="73"/>
        <v>5383.112170054811</v>
      </c>
      <c r="Z215" s="85">
        <f t="shared" si="73"/>
        <v>5128.645335483664</v>
      </c>
      <c r="AA215" s="85">
        <f t="shared" si="81"/>
        <v>5215.4218577918564</v>
      </c>
      <c r="AB215" s="85">
        <f t="shared" si="82"/>
        <v>5292.0625772952762</v>
      </c>
      <c r="AC215" s="85">
        <f t="shared" si="83"/>
        <v>5339.3874801637494</v>
      </c>
      <c r="AD215" s="41"/>
    </row>
    <row r="216" spans="17:30" hidden="1" x14ac:dyDescent="0.35">
      <c r="Q216" s="3" t="str">
        <f t="shared" si="74"/>
        <v>Dobeles novads</v>
      </c>
      <c r="R216" s="3"/>
      <c r="S216" s="85">
        <f t="shared" si="75"/>
        <v>4344.6074202252239</v>
      </c>
      <c r="T216" s="85">
        <f t="shared" si="76"/>
        <v>4591.152528657949</v>
      </c>
      <c r="U216" s="85">
        <f t="shared" si="77"/>
        <v>4629.1390022218302</v>
      </c>
      <c r="V216" s="85">
        <f t="shared" si="78"/>
        <v>4600.7777340425628</v>
      </c>
      <c r="W216" s="85">
        <f t="shared" si="79"/>
        <v>4536.2661870045713</v>
      </c>
      <c r="X216" s="85">
        <f t="shared" si="80"/>
        <v>4421.1504954722031</v>
      </c>
      <c r="Y216" s="85">
        <f t="shared" ref="Y216:Z235" si="84">((-0.0000000006)*$Z$130 + 0.0461)*Y86</f>
        <v>4611.2271867520958</v>
      </c>
      <c r="Z216" s="85">
        <f t="shared" si="84"/>
        <v>4421.6538645937835</v>
      </c>
      <c r="AA216" s="85">
        <f t="shared" si="81"/>
        <v>4503.1309890337243</v>
      </c>
      <c r="AB216" s="85">
        <f t="shared" si="82"/>
        <v>4553.3149039407099</v>
      </c>
      <c r="AC216" s="85">
        <f t="shared" si="83"/>
        <v>4577.1136280116752</v>
      </c>
      <c r="AD216" s="41"/>
    </row>
    <row r="217" spans="17:30" hidden="1" x14ac:dyDescent="0.35">
      <c r="Q217" s="3" t="str">
        <f t="shared" si="74"/>
        <v>Iecavas novads</v>
      </c>
      <c r="R217" s="3"/>
      <c r="S217" s="85">
        <f t="shared" si="75"/>
        <v>1781.263006291575</v>
      </c>
      <c r="T217" s="85">
        <f t="shared" si="76"/>
        <v>1894.6239768559242</v>
      </c>
      <c r="U217" s="85">
        <f t="shared" si="77"/>
        <v>1929.6578568989648</v>
      </c>
      <c r="V217" s="85">
        <f t="shared" si="78"/>
        <v>1926.3355021839911</v>
      </c>
      <c r="W217" s="85">
        <f t="shared" si="79"/>
        <v>1910.0662654942057</v>
      </c>
      <c r="X217" s="85">
        <f t="shared" si="80"/>
        <v>1884.0434932141766</v>
      </c>
      <c r="Y217" s="85">
        <f t="shared" si="84"/>
        <v>1974.9576294543613</v>
      </c>
      <c r="Z217" s="85">
        <f t="shared" si="84"/>
        <v>1918.749374825011</v>
      </c>
      <c r="AA217" s="85">
        <f t="shared" si="81"/>
        <v>1970.7495056331059</v>
      </c>
      <c r="AB217" s="85">
        <f t="shared" si="82"/>
        <v>2004.5508506627846</v>
      </c>
      <c r="AC217" s="85">
        <f t="shared" si="83"/>
        <v>2027.5244997566886</v>
      </c>
      <c r="AD217" s="41"/>
    </row>
    <row r="218" spans="17:30" hidden="1" x14ac:dyDescent="0.35">
      <c r="Q218" s="3" t="str">
        <f t="shared" si="74"/>
        <v>Jaunjelgavas novads</v>
      </c>
      <c r="R218" s="3"/>
      <c r="S218" s="85">
        <f t="shared" si="75"/>
        <v>1147.7870799479444</v>
      </c>
      <c r="T218" s="85">
        <f t="shared" si="76"/>
        <v>1223.8457301390026</v>
      </c>
      <c r="U218" s="85">
        <f t="shared" si="77"/>
        <v>1236.7725526579829</v>
      </c>
      <c r="V218" s="85">
        <f t="shared" si="78"/>
        <v>1235.0839850680372</v>
      </c>
      <c r="W218" s="85">
        <f t="shared" si="79"/>
        <v>1205.0021833407563</v>
      </c>
      <c r="X218" s="85">
        <f t="shared" si="80"/>
        <v>1174.6197087322951</v>
      </c>
      <c r="Y218" s="85">
        <f t="shared" si="84"/>
        <v>1214.413472352604</v>
      </c>
      <c r="Z218" s="85">
        <f t="shared" si="84"/>
        <v>1177.4092192168653</v>
      </c>
      <c r="AA218" s="85">
        <f t="shared" si="81"/>
        <v>1180.6689762079682</v>
      </c>
      <c r="AB218" s="85">
        <f t="shared" si="82"/>
        <v>1200.072275393778</v>
      </c>
      <c r="AC218" s="85">
        <f t="shared" si="83"/>
        <v>1212.9450271805204</v>
      </c>
      <c r="AD218" s="41"/>
    </row>
    <row r="219" spans="17:30" hidden="1" x14ac:dyDescent="0.35">
      <c r="Q219" s="3" t="str">
        <f t="shared" si="74"/>
        <v>Jelgava</v>
      </c>
      <c r="R219" s="3"/>
      <c r="S219" s="85">
        <f t="shared" si="75"/>
        <v>16436.355663375998</v>
      </c>
      <c r="T219" s="85">
        <f t="shared" si="76"/>
        <v>16580.9884988628</v>
      </c>
      <c r="U219" s="85">
        <f t="shared" si="77"/>
        <v>16426.4082172864</v>
      </c>
      <c r="V219" s="85">
        <f t="shared" si="78"/>
        <v>16984.7171160088</v>
      </c>
      <c r="W219" s="85">
        <f t="shared" si="79"/>
        <v>17723.4375409944</v>
      </c>
      <c r="X219" s="85">
        <f t="shared" si="80"/>
        <v>16692.6328286672</v>
      </c>
      <c r="Y219" s="85">
        <f t="shared" si="84"/>
        <v>17416.327428989476</v>
      </c>
      <c r="Z219" s="85">
        <f t="shared" si="84"/>
        <v>16770.616382415436</v>
      </c>
      <c r="AA219" s="85">
        <f t="shared" si="81"/>
        <v>17075.784921490042</v>
      </c>
      <c r="AB219" s="85">
        <f t="shared" si="82"/>
        <v>17325.071661923066</v>
      </c>
      <c r="AC219" s="85">
        <f t="shared" si="83"/>
        <v>17478.170888376</v>
      </c>
      <c r="AD219" s="41"/>
    </row>
    <row r="220" spans="17:30" hidden="1" x14ac:dyDescent="0.35">
      <c r="Q220" s="3" t="str">
        <f t="shared" si="74"/>
        <v>Jelgavas novads</v>
      </c>
      <c r="R220" s="3"/>
      <c r="S220" s="85">
        <f t="shared" si="75"/>
        <v>4865.7279894146413</v>
      </c>
      <c r="T220" s="85">
        <f t="shared" si="76"/>
        <v>5145.0855323983742</v>
      </c>
      <c r="U220" s="85">
        <f t="shared" si="77"/>
        <v>5179.4562262621876</v>
      </c>
      <c r="V220" s="85">
        <f t="shared" si="78"/>
        <v>5137.1943047043915</v>
      </c>
      <c r="W220" s="85">
        <f t="shared" si="79"/>
        <v>5070.0907387920115</v>
      </c>
      <c r="X220" s="85">
        <f t="shared" si="80"/>
        <v>4974.9125668395227</v>
      </c>
      <c r="Y220" s="85">
        <f t="shared" si="84"/>
        <v>5200.4776147768807</v>
      </c>
      <c r="Z220" s="85">
        <f t="shared" si="84"/>
        <v>5046.9819062528186</v>
      </c>
      <c r="AA220" s="85">
        <f t="shared" si="81"/>
        <v>5159.6569805667132</v>
      </c>
      <c r="AB220" s="85">
        <f t="shared" si="82"/>
        <v>5226.3316753808367</v>
      </c>
      <c r="AC220" s="85">
        <f t="shared" si="83"/>
        <v>5263.2840419163722</v>
      </c>
      <c r="AD220" s="41"/>
    </row>
    <row r="221" spans="17:30" hidden="1" x14ac:dyDescent="0.35">
      <c r="Q221" s="3" t="str">
        <f t="shared" si="74"/>
        <v>Jēkabpils</v>
      </c>
      <c r="R221" s="3"/>
      <c r="S221" s="85">
        <f t="shared" si="75"/>
        <v>6416.001643304</v>
      </c>
      <c r="T221" s="85">
        <f t="shared" si="76"/>
        <v>6209.7339253444006</v>
      </c>
      <c r="U221" s="85">
        <f t="shared" si="77"/>
        <v>6481.5603603775999</v>
      </c>
      <c r="V221" s="85">
        <f t="shared" si="78"/>
        <v>6378.4587468200007</v>
      </c>
      <c r="W221" s="85">
        <f t="shared" si="79"/>
        <v>6511.7120016430008</v>
      </c>
      <c r="X221" s="85">
        <f t="shared" si="80"/>
        <v>6708.973788796</v>
      </c>
      <c r="Y221" s="85">
        <f t="shared" si="84"/>
        <v>6999.8355213033583</v>
      </c>
      <c r="Z221" s="85">
        <f t="shared" si="84"/>
        <v>6740.3163351410894</v>
      </c>
      <c r="AA221" s="85">
        <f t="shared" si="81"/>
        <v>6862.9673124213568</v>
      </c>
      <c r="AB221" s="85">
        <f t="shared" si="82"/>
        <v>6963.1587097057509</v>
      </c>
      <c r="AC221" s="85">
        <f t="shared" si="83"/>
        <v>7024.6911658437512</v>
      </c>
      <c r="AD221" s="41"/>
    </row>
    <row r="222" spans="17:30" hidden="1" x14ac:dyDescent="0.35">
      <c r="Q222" s="3" t="str">
        <f t="shared" si="74"/>
        <v>Jēkabpils novads</v>
      </c>
      <c r="R222" s="3"/>
      <c r="S222" s="85">
        <f t="shared" si="75"/>
        <v>992.57245999337158</v>
      </c>
      <c r="T222" s="85">
        <f t="shared" si="76"/>
        <v>1051.6071867884641</v>
      </c>
      <c r="U222" s="85">
        <f t="shared" si="77"/>
        <v>1058.063574988149</v>
      </c>
      <c r="V222" s="85">
        <f t="shared" si="78"/>
        <v>1053.7315876972391</v>
      </c>
      <c r="W222" s="85">
        <f t="shared" si="79"/>
        <v>1027.4371821960553</v>
      </c>
      <c r="X222" s="85">
        <f t="shared" si="80"/>
        <v>988.31768714547059</v>
      </c>
      <c r="Y222" s="85">
        <f t="shared" si="84"/>
        <v>1014.2951433481962</v>
      </c>
      <c r="Z222" s="85">
        <f t="shared" si="84"/>
        <v>963.12802051085907</v>
      </c>
      <c r="AA222" s="85">
        <f t="shared" si="81"/>
        <v>975.651045233177</v>
      </c>
      <c r="AB222" s="85">
        <f t="shared" si="82"/>
        <v>985.72187098896904</v>
      </c>
      <c r="AC222" s="85">
        <f t="shared" si="83"/>
        <v>990.0883790228894</v>
      </c>
      <c r="AD222" s="41"/>
    </row>
    <row r="223" spans="17:30" hidden="1" x14ac:dyDescent="0.35">
      <c r="Q223" s="3" t="str">
        <f t="shared" si="74"/>
        <v>Kokneses novads</v>
      </c>
      <c r="R223" s="3"/>
      <c r="S223" s="85">
        <f t="shared" si="75"/>
        <v>1078.2909855940904</v>
      </c>
      <c r="T223" s="85">
        <f t="shared" si="76"/>
        <v>1154.1713445122773</v>
      </c>
      <c r="U223" s="85">
        <f t="shared" si="77"/>
        <v>1174.0248595059197</v>
      </c>
      <c r="V223" s="85">
        <f t="shared" si="78"/>
        <v>1172.3859443413301</v>
      </c>
      <c r="W223" s="85">
        <f t="shared" si="79"/>
        <v>1151.91341073388</v>
      </c>
      <c r="X223" s="85">
        <f t="shared" si="80"/>
        <v>1122.7324710274411</v>
      </c>
      <c r="Y223" s="85">
        <f t="shared" si="84"/>
        <v>1184.4075363625686</v>
      </c>
      <c r="Z223" s="85">
        <f t="shared" si="84"/>
        <v>1124.8625558399146</v>
      </c>
      <c r="AA223" s="85">
        <f t="shared" si="81"/>
        <v>1136.6194093242416</v>
      </c>
      <c r="AB223" s="85">
        <f t="shared" si="82"/>
        <v>1157.298857603867</v>
      </c>
      <c r="AC223" s="85">
        <f t="shared" si="83"/>
        <v>1171.7946338610911</v>
      </c>
      <c r="AD223" s="41"/>
    </row>
    <row r="224" spans="17:30" hidden="1" x14ac:dyDescent="0.35">
      <c r="Q224" s="3" t="str">
        <f t="shared" si="74"/>
        <v>Krustpils novads</v>
      </c>
      <c r="R224" s="3"/>
      <c r="S224" s="85">
        <f t="shared" si="75"/>
        <v>1212.2762510774573</v>
      </c>
      <c r="T224" s="85">
        <f t="shared" si="76"/>
        <v>1293.3037356861419</v>
      </c>
      <c r="U224" s="85">
        <f t="shared" si="77"/>
        <v>1309.9412407858306</v>
      </c>
      <c r="V224" s="85">
        <f t="shared" si="78"/>
        <v>1309.6924062912158</v>
      </c>
      <c r="W224" s="85">
        <f t="shared" si="79"/>
        <v>1298.3028773264577</v>
      </c>
      <c r="X224" s="85">
        <f t="shared" si="80"/>
        <v>1253.1215209495526</v>
      </c>
      <c r="Y224" s="85">
        <f t="shared" si="84"/>
        <v>1298.5246000097104</v>
      </c>
      <c r="Z224" s="85">
        <f t="shared" si="84"/>
        <v>1261.8023452465129</v>
      </c>
      <c r="AA224" s="85">
        <f t="shared" si="81"/>
        <v>1279.5461954895245</v>
      </c>
      <c r="AB224" s="85">
        <f t="shared" si="82"/>
        <v>1302.2934941798367</v>
      </c>
      <c r="AC224" s="85">
        <f t="shared" si="83"/>
        <v>1318.0520559000258</v>
      </c>
      <c r="AD224" s="41"/>
    </row>
    <row r="225" spans="17:30" hidden="1" x14ac:dyDescent="0.35">
      <c r="Q225" s="3" t="str">
        <f t="shared" si="74"/>
        <v>Neretas novads</v>
      </c>
      <c r="R225" s="3"/>
      <c r="S225" s="85">
        <f t="shared" si="75"/>
        <v>770.26506883262857</v>
      </c>
      <c r="T225" s="85">
        <f t="shared" si="76"/>
        <v>813.58909924374996</v>
      </c>
      <c r="U225" s="85">
        <f t="shared" si="77"/>
        <v>821.70654000546517</v>
      </c>
      <c r="V225" s="85">
        <f t="shared" si="78"/>
        <v>817.5464952106114</v>
      </c>
      <c r="W225" s="85">
        <f t="shared" si="79"/>
        <v>792.26521503112713</v>
      </c>
      <c r="X225" s="85">
        <f t="shared" si="80"/>
        <v>769.80979387977152</v>
      </c>
      <c r="Y225" s="85">
        <f t="shared" si="84"/>
        <v>797.63810946739125</v>
      </c>
      <c r="Z225" s="85">
        <f t="shared" si="84"/>
        <v>758.85571006712951</v>
      </c>
      <c r="AA225" s="85">
        <f t="shared" si="81"/>
        <v>768.05574598327439</v>
      </c>
      <c r="AB225" s="85">
        <f t="shared" si="82"/>
        <v>778.37954068533202</v>
      </c>
      <c r="AC225" s="85">
        <f t="shared" si="83"/>
        <v>784.33641242574424</v>
      </c>
      <c r="AD225" s="41"/>
    </row>
    <row r="226" spans="17:30" hidden="1" x14ac:dyDescent="0.35">
      <c r="Q226" s="3" t="str">
        <f t="shared" si="74"/>
        <v>Ozolnieku novads</v>
      </c>
      <c r="R226" s="3"/>
      <c r="S226" s="85">
        <f t="shared" si="75"/>
        <v>1970.7249811006407</v>
      </c>
      <c r="T226" s="85">
        <f t="shared" si="76"/>
        <v>2090.4479488813481</v>
      </c>
      <c r="U226" s="85">
        <f t="shared" si="77"/>
        <v>2136.0822467384382</v>
      </c>
      <c r="V226" s="85">
        <f t="shared" si="78"/>
        <v>2174.4309751670908</v>
      </c>
      <c r="W226" s="85">
        <f t="shared" si="79"/>
        <v>2170.7660254445677</v>
      </c>
      <c r="X226" s="85">
        <f t="shared" si="80"/>
        <v>2206.1022100029245</v>
      </c>
      <c r="Y226" s="85">
        <f t="shared" si="84"/>
        <v>2355.3478416114999</v>
      </c>
      <c r="Z226" s="85">
        <f t="shared" si="84"/>
        <v>2281.7990490657598</v>
      </c>
      <c r="AA226" s="85">
        <f t="shared" si="81"/>
        <v>2330.8781455282528</v>
      </c>
      <c r="AB226" s="85">
        <f t="shared" si="82"/>
        <v>2409.3275444373671</v>
      </c>
      <c r="AC226" s="85">
        <f t="shared" si="83"/>
        <v>2477.2040990424971</v>
      </c>
      <c r="AD226" s="41"/>
    </row>
    <row r="227" spans="17:30" hidden="1" x14ac:dyDescent="0.35">
      <c r="Q227" s="3" t="str">
        <f t="shared" si="74"/>
        <v>Pļaviņu novads</v>
      </c>
      <c r="R227" s="3"/>
      <c r="S227" s="85">
        <f t="shared" si="75"/>
        <v>1113.5397250934514</v>
      </c>
      <c r="T227" s="85">
        <f t="shared" si="76"/>
        <v>1181.8679946992984</v>
      </c>
      <c r="U227" s="85">
        <f t="shared" si="77"/>
        <v>1184.667577779061</v>
      </c>
      <c r="V227" s="85">
        <f t="shared" si="78"/>
        <v>1187.891911402774</v>
      </c>
      <c r="W227" s="85">
        <f t="shared" si="79"/>
        <v>1166.8234489979388</v>
      </c>
      <c r="X227" s="85">
        <f t="shared" si="80"/>
        <v>1125.1926417806887</v>
      </c>
      <c r="Y227" s="85">
        <f t="shared" si="84"/>
        <v>1158.654410197893</v>
      </c>
      <c r="Z227" s="85">
        <f t="shared" si="84"/>
        <v>1095.9732647192534</v>
      </c>
      <c r="AA227" s="85">
        <f t="shared" si="81"/>
        <v>1116.469075537005</v>
      </c>
      <c r="AB227" s="85">
        <f t="shared" si="82"/>
        <v>1130.2331921096857</v>
      </c>
      <c r="AC227" s="85">
        <f t="shared" si="83"/>
        <v>1137.5852707401202</v>
      </c>
      <c r="AD227" s="41"/>
    </row>
    <row r="228" spans="17:30" hidden="1" x14ac:dyDescent="0.35">
      <c r="Q228" s="3" t="str">
        <f t="shared" si="74"/>
        <v>Rundāles novads</v>
      </c>
      <c r="R228" s="3"/>
      <c r="S228" s="85">
        <f t="shared" si="75"/>
        <v>735.21660626224104</v>
      </c>
      <c r="T228" s="85">
        <f t="shared" si="76"/>
        <v>782.6467478629371</v>
      </c>
      <c r="U228" s="85">
        <f t="shared" si="77"/>
        <v>782.90496296797016</v>
      </c>
      <c r="V228" s="85">
        <f t="shared" si="78"/>
        <v>780.46700875933288</v>
      </c>
      <c r="W228" s="85">
        <f t="shared" si="79"/>
        <v>772.83698335371707</v>
      </c>
      <c r="X228" s="85">
        <f t="shared" si="80"/>
        <v>761.98197784671163</v>
      </c>
      <c r="Y228" s="85">
        <f t="shared" si="84"/>
        <v>792.91276521699194</v>
      </c>
      <c r="Z228" s="85">
        <f t="shared" si="84"/>
        <v>765.90742679736957</v>
      </c>
      <c r="AA228" s="85">
        <f t="shared" si="81"/>
        <v>770.86742046521431</v>
      </c>
      <c r="AB228" s="85">
        <f t="shared" si="82"/>
        <v>785.14595705887723</v>
      </c>
      <c r="AC228" s="85">
        <f t="shared" si="83"/>
        <v>794.99585165909025</v>
      </c>
      <c r="AD228" s="41"/>
    </row>
    <row r="229" spans="17:30" hidden="1" x14ac:dyDescent="0.35">
      <c r="Q229" s="3" t="str">
        <f t="shared" si="74"/>
        <v>Salas novads</v>
      </c>
      <c r="R229" s="3"/>
      <c r="S229" s="85">
        <f t="shared" si="75"/>
        <v>759.65039159702542</v>
      </c>
      <c r="T229" s="85">
        <f t="shared" si="76"/>
        <v>806.01579645823642</v>
      </c>
      <c r="U229" s="85">
        <f t="shared" si="77"/>
        <v>808.4031421640384</v>
      </c>
      <c r="V229" s="85">
        <f t="shared" si="78"/>
        <v>807.43390799662632</v>
      </c>
      <c r="W229" s="85">
        <f t="shared" si="79"/>
        <v>789.78020865378403</v>
      </c>
      <c r="X229" s="85">
        <f t="shared" si="80"/>
        <v>761.08737030007626</v>
      </c>
      <c r="Y229" s="85">
        <f t="shared" si="84"/>
        <v>787.24235211651296</v>
      </c>
      <c r="Z229" s="85">
        <f t="shared" si="84"/>
        <v>749.75672073778742</v>
      </c>
      <c r="AA229" s="85">
        <f t="shared" si="81"/>
        <v>759.38641633062616</v>
      </c>
      <c r="AB229" s="85">
        <f t="shared" si="82"/>
        <v>770.64649340128028</v>
      </c>
      <c r="AC229" s="85">
        <f t="shared" si="83"/>
        <v>777.89117009860479</v>
      </c>
      <c r="AD229" s="41"/>
    </row>
    <row r="230" spans="17:30" hidden="1" x14ac:dyDescent="0.35">
      <c r="Q230" s="3" t="str">
        <f t="shared" si="74"/>
        <v>Skrīveru novads</v>
      </c>
      <c r="R230" s="3"/>
      <c r="S230" s="85">
        <f t="shared" si="75"/>
        <v>726.0038675294536</v>
      </c>
      <c r="T230" s="85">
        <f t="shared" si="76"/>
        <v>769.01480284901265</v>
      </c>
      <c r="U230" s="85">
        <f t="shared" si="77"/>
        <v>777.80532712875663</v>
      </c>
      <c r="V230" s="85">
        <f t="shared" si="78"/>
        <v>780.69173291964364</v>
      </c>
      <c r="W230" s="85">
        <f t="shared" si="79"/>
        <v>771.02970598837658</v>
      </c>
      <c r="X230" s="85">
        <f t="shared" si="80"/>
        <v>752.81225049369868</v>
      </c>
      <c r="Y230" s="85">
        <f t="shared" si="84"/>
        <v>788.89622260415263</v>
      </c>
      <c r="Z230" s="85">
        <f t="shared" si="84"/>
        <v>776.3712645261129</v>
      </c>
      <c r="AA230" s="85">
        <f t="shared" si="81"/>
        <v>800.6243087324126</v>
      </c>
      <c r="AB230" s="85">
        <f t="shared" si="82"/>
        <v>809.79504527679217</v>
      </c>
      <c r="AC230" s="85">
        <f t="shared" si="83"/>
        <v>814.33157864050872</v>
      </c>
      <c r="AD230" s="41"/>
    </row>
    <row r="231" spans="17:30" hidden="1" x14ac:dyDescent="0.35">
      <c r="Q231" s="3" t="str">
        <f t="shared" si="74"/>
        <v>Tērvetes novads</v>
      </c>
      <c r="R231" s="3"/>
      <c r="S231" s="85">
        <f t="shared" si="75"/>
        <v>716.79112879666604</v>
      </c>
      <c r="T231" s="85">
        <f t="shared" si="76"/>
        <v>757.54665863094908</v>
      </c>
      <c r="U231" s="85">
        <f t="shared" si="77"/>
        <v>762.28469631375867</v>
      </c>
      <c r="V231" s="85">
        <f t="shared" si="78"/>
        <v>784.73676780523772</v>
      </c>
      <c r="W231" s="85">
        <f t="shared" si="79"/>
        <v>767.64106092836323</v>
      </c>
      <c r="X231" s="85">
        <f t="shared" si="80"/>
        <v>759.5218070934643</v>
      </c>
      <c r="Y231" s="85">
        <f t="shared" si="84"/>
        <v>788.89622260415263</v>
      </c>
      <c r="Z231" s="85">
        <f t="shared" si="84"/>
        <v>762.72278053209982</v>
      </c>
      <c r="AA231" s="85">
        <f t="shared" si="81"/>
        <v>766.88421494913268</v>
      </c>
      <c r="AB231" s="85">
        <f t="shared" si="82"/>
        <v>781.27943341685136</v>
      </c>
      <c r="AC231" s="85">
        <f t="shared" si="83"/>
        <v>791.27744262420208</v>
      </c>
      <c r="AD231" s="41"/>
    </row>
    <row r="232" spans="17:30" hidden="1" x14ac:dyDescent="0.35">
      <c r="Q232" s="3" t="str">
        <f t="shared" ref="Q232:Q254" si="85">Q102</f>
        <v>Vecumnieku novads</v>
      </c>
      <c r="R232" s="3"/>
      <c r="S232" s="85">
        <f t="shared" ref="S232:S254" si="86">((-0.0000000006)*$S$130 + 0.0461)*S102</f>
        <v>1729.5915586163756</v>
      </c>
      <c r="T232" s="85">
        <f t="shared" ref="T232:T254" si="87">((-0.0000000006)*$T$130 + 0.0461)*T102</f>
        <v>1836.2013553676761</v>
      </c>
      <c r="U232" s="85">
        <f t="shared" ref="U232:U254" si="88">((-0.0000000006)*$U$130 + 0.0461)*U102</f>
        <v>1856.9326153658315</v>
      </c>
      <c r="V232" s="85">
        <f t="shared" ref="V232:V254" si="89">((-0.0000000006)*$V$130 + 0.0461)*V102</f>
        <v>1856.8957366479608</v>
      </c>
      <c r="W232" s="85">
        <f t="shared" ref="W232:W254" si="90">((-0.0000000006)*$W$130 + 0.0461)*W102</f>
        <v>1807.0514556697992</v>
      </c>
      <c r="X232" s="85">
        <f t="shared" ref="X232:X254" si="91">((-0.0000000006)*$X$130 + 0.0461)*X102</f>
        <v>1765.2843413983255</v>
      </c>
      <c r="Y232" s="85">
        <f t="shared" si="84"/>
        <v>1844.5381281433422</v>
      </c>
      <c r="Z232" s="85">
        <f t="shared" si="84"/>
        <v>1785.221706416916</v>
      </c>
      <c r="AA232" s="85">
        <f t="shared" ref="AA232:AA254" si="92">((-0.0000000006)*$AA$130 + 0.0461)*AA102</f>
        <v>1826.4168822268527</v>
      </c>
      <c r="AB232" s="85">
        <f t="shared" ref="AB232:AB254" si="93">((-0.0000000006)*$AB$130 + 0.0461)*AB102</f>
        <v>1848.6816163436167</v>
      </c>
      <c r="AC232" s="85">
        <f t="shared" ref="AC232:AC254" si="94">((-0.0000000006)*$AC$130 + 0.0461)*AC102</f>
        <v>1860.4439871223799</v>
      </c>
      <c r="AD232" s="41"/>
    </row>
    <row r="233" spans="17:30" hidden="1" x14ac:dyDescent="0.35">
      <c r="Q233" s="3" t="str">
        <f t="shared" si="85"/>
        <v>Viesītes novads</v>
      </c>
      <c r="R233" s="3"/>
      <c r="S233" s="85">
        <f t="shared" si="86"/>
        <v>803.71131597122678</v>
      </c>
      <c r="T233" s="85">
        <f t="shared" si="87"/>
        <v>857.94701555890117</v>
      </c>
      <c r="U233" s="85">
        <f t="shared" si="88"/>
        <v>861.61673352974572</v>
      </c>
      <c r="V233" s="85">
        <f t="shared" si="89"/>
        <v>857.3226715856191</v>
      </c>
      <c r="W233" s="85">
        <f t="shared" si="90"/>
        <v>836.09169114063343</v>
      </c>
      <c r="X233" s="85">
        <f t="shared" si="91"/>
        <v>809.39617781838842</v>
      </c>
      <c r="Y233" s="85">
        <f t="shared" si="84"/>
        <v>842.76514705870386</v>
      </c>
      <c r="Z233" s="85">
        <f t="shared" si="84"/>
        <v>812.99469657671489</v>
      </c>
      <c r="AA233" s="85">
        <f t="shared" si="92"/>
        <v>828.27244113815584</v>
      </c>
      <c r="AB233" s="85">
        <f t="shared" si="93"/>
        <v>833.96081803945378</v>
      </c>
      <c r="AC233" s="85">
        <f t="shared" si="94"/>
        <v>834.65888136456408</v>
      </c>
      <c r="AD233" s="41"/>
    </row>
    <row r="234" spans="17:30" hidden="1" x14ac:dyDescent="0.35">
      <c r="Q234" s="3" t="str">
        <f t="shared" si="85"/>
        <v>Aglonas novads</v>
      </c>
      <c r="R234" s="3"/>
      <c r="S234" s="85">
        <f t="shared" si="86"/>
        <v>525.44525420854723</v>
      </c>
      <c r="T234" s="85">
        <f t="shared" si="87"/>
        <v>523.95956873973455</v>
      </c>
      <c r="U234" s="85">
        <f t="shared" si="88"/>
        <v>531.09497356382167</v>
      </c>
      <c r="V234" s="85">
        <f t="shared" si="89"/>
        <v>526.62712936928756</v>
      </c>
      <c r="W234" s="85">
        <f t="shared" si="90"/>
        <v>554.02560136047077</v>
      </c>
      <c r="X234" s="85">
        <f t="shared" si="91"/>
        <v>552.66488280395424</v>
      </c>
      <c r="Y234" s="85">
        <f t="shared" si="84"/>
        <v>569.60757764510811</v>
      </c>
      <c r="Z234" s="85">
        <f t="shared" si="84"/>
        <v>543.23785572557244</v>
      </c>
      <c r="AA234" s="85">
        <f t="shared" si="92"/>
        <v>549.20616112502444</v>
      </c>
      <c r="AB234" s="85">
        <f t="shared" si="93"/>
        <v>556.81131257116215</v>
      </c>
      <c r="AC234" s="85">
        <f t="shared" si="94"/>
        <v>561.10180010646479</v>
      </c>
      <c r="AD234" s="41"/>
    </row>
    <row r="235" spans="17:30" hidden="1" x14ac:dyDescent="0.35">
      <c r="Q235" s="3" t="str">
        <f t="shared" si="85"/>
        <v>Baltinavas novads</v>
      </c>
      <c r="R235" s="3"/>
      <c r="S235" s="85">
        <f t="shared" si="86"/>
        <v>157.21875106187323</v>
      </c>
      <c r="T235" s="85">
        <f t="shared" si="87"/>
        <v>156.1627018061069</v>
      </c>
      <c r="U235" s="85">
        <f t="shared" si="88"/>
        <v>157.05588615882979</v>
      </c>
      <c r="V235" s="85">
        <f t="shared" si="89"/>
        <v>155.61115625321816</v>
      </c>
      <c r="W235" s="85">
        <f t="shared" si="90"/>
        <v>167.04613591660294</v>
      </c>
      <c r="X235" s="85">
        <f t="shared" si="91"/>
        <v>167.01870136112245</v>
      </c>
      <c r="Y235" s="85">
        <f t="shared" si="84"/>
        <v>171.89974844006238</v>
      </c>
      <c r="Z235" s="85">
        <f t="shared" si="84"/>
        <v>170.61795404850406</v>
      </c>
      <c r="AA235" s="85">
        <f t="shared" si="92"/>
        <v>169.16705225974616</v>
      </c>
      <c r="AB235" s="85">
        <f t="shared" si="93"/>
        <v>171.54287912545905</v>
      </c>
      <c r="AC235" s="85">
        <f t="shared" si="94"/>
        <v>172.95958146188229</v>
      </c>
      <c r="AD235" s="41"/>
    </row>
    <row r="236" spans="17:30" hidden="1" x14ac:dyDescent="0.35">
      <c r="Q236" s="3" t="str">
        <f t="shared" si="85"/>
        <v>Balvu novads</v>
      </c>
      <c r="R236" s="3"/>
      <c r="S236" s="85">
        <f t="shared" si="86"/>
        <v>1881.7853854010841</v>
      </c>
      <c r="T236" s="85">
        <f t="shared" si="87"/>
        <v>1867.9137560458885</v>
      </c>
      <c r="U236" s="85">
        <f t="shared" si="88"/>
        <v>1886.2629055628674</v>
      </c>
      <c r="V236" s="85">
        <f t="shared" si="89"/>
        <v>1873.2394217654953</v>
      </c>
      <c r="W236" s="85">
        <f t="shared" si="90"/>
        <v>1990.0419010450901</v>
      </c>
      <c r="X236" s="85">
        <f t="shared" si="91"/>
        <v>2025.7698288090542</v>
      </c>
      <c r="Y236" s="85">
        <f t="shared" ref="Y236:Z254" si="95">((-0.0000000006)*$Z$130 + 0.0461)*Y106</f>
        <v>2137.9473385946285</v>
      </c>
      <c r="Z236" s="85">
        <f t="shared" si="95"/>
        <v>2047.588840811773</v>
      </c>
      <c r="AA236" s="85">
        <f t="shared" si="92"/>
        <v>2089.9442870424991</v>
      </c>
      <c r="AB236" s="85">
        <f t="shared" si="93"/>
        <v>2117.0078591089436</v>
      </c>
      <c r="AC236" s="85">
        <f t="shared" si="94"/>
        <v>2132.0706301594628</v>
      </c>
      <c r="AD236" s="41"/>
    </row>
    <row r="237" spans="17:30" hidden="1" x14ac:dyDescent="0.35">
      <c r="Q237" s="3" t="str">
        <f t="shared" si="85"/>
        <v>Ciblas novads</v>
      </c>
      <c r="R237" s="3"/>
      <c r="S237" s="85">
        <f t="shared" si="86"/>
        <v>389.6591385157069</v>
      </c>
      <c r="T237" s="85">
        <f t="shared" si="87"/>
        <v>386.89590240631702</v>
      </c>
      <c r="U237" s="85">
        <f t="shared" si="88"/>
        <v>391.84357956861959</v>
      </c>
      <c r="V237" s="85">
        <f t="shared" si="89"/>
        <v>392.5712186691718</v>
      </c>
      <c r="W237" s="85">
        <f t="shared" si="90"/>
        <v>414.06802802493854</v>
      </c>
      <c r="X237" s="85">
        <f t="shared" si="91"/>
        <v>420.05203392322295</v>
      </c>
      <c r="Y237" s="85">
        <f t="shared" si="95"/>
        <v>433.58721595110228</v>
      </c>
      <c r="Z237" s="85">
        <f t="shared" si="95"/>
        <v>424.98435505374334</v>
      </c>
      <c r="AA237" s="85">
        <f t="shared" si="92"/>
        <v>426.43818296426946</v>
      </c>
      <c r="AB237" s="85">
        <f t="shared" si="93"/>
        <v>434.20033667165376</v>
      </c>
      <c r="AC237" s="85">
        <f t="shared" si="94"/>
        <v>439.66209397365373</v>
      </c>
      <c r="AD237" s="41"/>
    </row>
    <row r="238" spans="17:30" hidden="1" x14ac:dyDescent="0.35">
      <c r="Q238" s="3" t="str">
        <f t="shared" si="85"/>
        <v>Dagdas novads</v>
      </c>
      <c r="R238" s="3"/>
      <c r="S238" s="85">
        <f t="shared" si="86"/>
        <v>1108.1363861124469</v>
      </c>
      <c r="T238" s="85">
        <f t="shared" si="87"/>
        <v>1098.0541055952785</v>
      </c>
      <c r="U238" s="85">
        <f t="shared" si="88"/>
        <v>1106.9183054899277</v>
      </c>
      <c r="V238" s="85">
        <f t="shared" si="89"/>
        <v>1101.3844645626257</v>
      </c>
      <c r="W238" s="85">
        <f t="shared" si="90"/>
        <v>1169.4841928601556</v>
      </c>
      <c r="X238" s="85">
        <f t="shared" si="91"/>
        <v>1167.7947599169681</v>
      </c>
      <c r="Y238" s="85">
        <f t="shared" si="95"/>
        <v>1209.7243979006259</v>
      </c>
      <c r="Z238" s="85">
        <f t="shared" si="95"/>
        <v>1159.1270557055384</v>
      </c>
      <c r="AA238" s="85">
        <f t="shared" si="92"/>
        <v>1169.0039096924829</v>
      </c>
      <c r="AB238" s="85">
        <f t="shared" si="93"/>
        <v>1184.1145623567206</v>
      </c>
      <c r="AC238" s="85">
        <f t="shared" si="94"/>
        <v>1192.3171147585076</v>
      </c>
      <c r="AD238" s="41"/>
    </row>
    <row r="239" spans="17:30" hidden="1" x14ac:dyDescent="0.35">
      <c r="Q239" s="3" t="str">
        <f t="shared" si="85"/>
        <v>Daugavpils</v>
      </c>
      <c r="R239" s="3"/>
      <c r="S239" s="85">
        <f t="shared" si="86"/>
        <v>23504.581795485999</v>
      </c>
      <c r="T239" s="85">
        <f t="shared" si="87"/>
        <v>23251.329381453601</v>
      </c>
      <c r="U239" s="85">
        <f t="shared" si="88"/>
        <v>22551.1917674408</v>
      </c>
      <c r="V239" s="85">
        <f t="shared" si="89"/>
        <v>22303.871570309602</v>
      </c>
      <c r="W239" s="85">
        <f t="shared" si="90"/>
        <v>22763.639914137602</v>
      </c>
      <c r="X239" s="85">
        <f t="shared" si="91"/>
        <v>19830.171968220802</v>
      </c>
      <c r="Y239" s="85">
        <f t="shared" si="95"/>
        <v>20689.891853283974</v>
      </c>
      <c r="Z239" s="85">
        <f t="shared" si="95"/>
        <v>19922.813272764724</v>
      </c>
      <c r="AA239" s="85">
        <f t="shared" si="92"/>
        <v>20285.341141870402</v>
      </c>
      <c r="AB239" s="85">
        <f t="shared" si="93"/>
        <v>20581.483696668256</v>
      </c>
      <c r="AC239" s="85">
        <f t="shared" si="94"/>
        <v>20763.359379187881</v>
      </c>
      <c r="AD239" s="41"/>
    </row>
    <row r="240" spans="17:30" hidden="1" x14ac:dyDescent="0.35">
      <c r="Q240" s="3" t="str">
        <f t="shared" si="85"/>
        <v>Daugavpils novads</v>
      </c>
      <c r="R240" s="3"/>
      <c r="S240" s="85">
        <f t="shared" si="86"/>
        <v>3318.6016055276664</v>
      </c>
      <c r="T240" s="85">
        <f t="shared" si="87"/>
        <v>3300.622284666304</v>
      </c>
      <c r="U240" s="85">
        <f t="shared" si="88"/>
        <v>3307.2929833704543</v>
      </c>
      <c r="V240" s="85">
        <f t="shared" si="89"/>
        <v>3262.2240119270477</v>
      </c>
      <c r="W240" s="85">
        <f t="shared" si="90"/>
        <v>3434.6039972582616</v>
      </c>
      <c r="X240" s="85">
        <f t="shared" si="91"/>
        <v>3454.614818953457</v>
      </c>
      <c r="Y240" s="85">
        <f t="shared" si="95"/>
        <v>3596.6853907775876</v>
      </c>
      <c r="Z240" s="85">
        <f t="shared" si="95"/>
        <v>3480.8490117110969</v>
      </c>
      <c r="AA240" s="85">
        <f t="shared" si="92"/>
        <v>3530.1209955547674</v>
      </c>
      <c r="AB240" s="85">
        <f t="shared" si="93"/>
        <v>3555.9057796421657</v>
      </c>
      <c r="AC240" s="85">
        <f t="shared" si="94"/>
        <v>3560.1008587355641</v>
      </c>
      <c r="AD240" s="41"/>
    </row>
    <row r="241" spans="17:30" hidden="1" x14ac:dyDescent="0.35">
      <c r="Q241" s="3" t="str">
        <f t="shared" si="85"/>
        <v>Ilūkstes novads</v>
      </c>
      <c r="R241" s="3"/>
      <c r="S241" s="85">
        <f t="shared" si="86"/>
        <v>1076.6096708599339</v>
      </c>
      <c r="T241" s="85">
        <f t="shared" si="87"/>
        <v>1058.4516938063198</v>
      </c>
      <c r="U241" s="85">
        <f t="shared" si="88"/>
        <v>1078.4021676343611</v>
      </c>
      <c r="V241" s="85">
        <f t="shared" si="89"/>
        <v>1064.4747975196424</v>
      </c>
      <c r="W241" s="85">
        <f t="shared" si="90"/>
        <v>1132.2374193111832</v>
      </c>
      <c r="X241" s="85">
        <f t="shared" si="91"/>
        <v>1139.0675432828552</v>
      </c>
      <c r="Y241" s="85">
        <f t="shared" si="95"/>
        <v>1180.8066832097743</v>
      </c>
      <c r="Z241" s="85">
        <f t="shared" si="95"/>
        <v>1131.0375144902357</v>
      </c>
      <c r="AA241" s="85">
        <f t="shared" si="92"/>
        <v>1150.7692541127237</v>
      </c>
      <c r="AB241" s="85">
        <f t="shared" si="93"/>
        <v>1167.428970835228</v>
      </c>
      <c r="AC241" s="85">
        <f t="shared" si="94"/>
        <v>1177.7908341206116</v>
      </c>
      <c r="AD241" s="41"/>
    </row>
    <row r="242" spans="17:30" hidden="1" x14ac:dyDescent="0.35">
      <c r="Q242" s="3" t="str">
        <f t="shared" si="85"/>
        <v>Kārsavas novads</v>
      </c>
      <c r="R242" s="3"/>
      <c r="S242" s="85">
        <f t="shared" si="86"/>
        <v>834.35175365641419</v>
      </c>
      <c r="T242" s="85">
        <f t="shared" si="87"/>
        <v>830.3867408089119</v>
      </c>
      <c r="U242" s="85">
        <f t="shared" si="88"/>
        <v>841.29844272361174</v>
      </c>
      <c r="V242" s="85">
        <f t="shared" si="89"/>
        <v>838.43999654841161</v>
      </c>
      <c r="W242" s="85">
        <f t="shared" si="90"/>
        <v>891.98766784811528</v>
      </c>
      <c r="X242" s="85">
        <f t="shared" si="91"/>
        <v>900.73185644053342</v>
      </c>
      <c r="Y242" s="85">
        <f t="shared" si="95"/>
        <v>942.14628480441263</v>
      </c>
      <c r="Z242" s="85">
        <f t="shared" si="95"/>
        <v>908.22849929478082</v>
      </c>
      <c r="AA242" s="85">
        <f t="shared" si="92"/>
        <v>925.63444710322165</v>
      </c>
      <c r="AB242" s="85">
        <f t="shared" si="93"/>
        <v>938.14269633201877</v>
      </c>
      <c r="AC242" s="85">
        <f t="shared" si="94"/>
        <v>945.17666017243619</v>
      </c>
      <c r="AD242" s="41"/>
    </row>
    <row r="243" spans="17:30" hidden="1" x14ac:dyDescent="0.35">
      <c r="Q243" s="3" t="str">
        <f t="shared" si="85"/>
        <v>Krāslavas novads</v>
      </c>
      <c r="R243" s="3"/>
      <c r="S243" s="85">
        <f t="shared" si="86"/>
        <v>2316.7987458590023</v>
      </c>
      <c r="T243" s="85">
        <f t="shared" si="87"/>
        <v>2287.8116682763375</v>
      </c>
      <c r="U243" s="85">
        <f t="shared" si="88"/>
        <v>2294.8977135134446</v>
      </c>
      <c r="V243" s="85">
        <f t="shared" si="89"/>
        <v>2278.9504819019689</v>
      </c>
      <c r="W243" s="85">
        <f t="shared" si="90"/>
        <v>2412.6557255985808</v>
      </c>
      <c r="X243" s="85">
        <f t="shared" si="91"/>
        <v>2428.7859551934425</v>
      </c>
      <c r="Y243" s="85">
        <f t="shared" si="95"/>
        <v>2526.7299472160776</v>
      </c>
      <c r="Z243" s="85">
        <f t="shared" si="95"/>
        <v>2403.7364806650526</v>
      </c>
      <c r="AA243" s="85">
        <f t="shared" si="92"/>
        <v>2443.2633065433779</v>
      </c>
      <c r="AB243" s="85">
        <f t="shared" si="93"/>
        <v>2466.8428453910274</v>
      </c>
      <c r="AC243" s="85">
        <f t="shared" si="94"/>
        <v>2475.6655881811639</v>
      </c>
      <c r="AD243" s="41"/>
    </row>
    <row r="244" spans="17:30" hidden="1" x14ac:dyDescent="0.35">
      <c r="Q244" s="3" t="str">
        <f t="shared" si="85"/>
        <v>Līvānu novads</v>
      </c>
      <c r="R244" s="3"/>
      <c r="S244" s="85">
        <f t="shared" si="86"/>
        <v>1663.4490547707428</v>
      </c>
      <c r="T244" s="85">
        <f t="shared" si="87"/>
        <v>1656.9817613401576</v>
      </c>
      <c r="U244" s="85">
        <f t="shared" si="88"/>
        <v>1686.6499405739028</v>
      </c>
      <c r="V244" s="85">
        <f t="shared" si="89"/>
        <v>1693.8584399365957</v>
      </c>
      <c r="W244" s="85">
        <f t="shared" si="90"/>
        <v>1805.9041720713833</v>
      </c>
      <c r="X244" s="85">
        <f t="shared" si="91"/>
        <v>1842.0492573118195</v>
      </c>
      <c r="Y244" s="85">
        <f t="shared" si="95"/>
        <v>1933.5597872302758</v>
      </c>
      <c r="Z244" s="85">
        <f t="shared" si="95"/>
        <v>1878.3580246010615</v>
      </c>
      <c r="AA244" s="85">
        <f t="shared" si="92"/>
        <v>1920.235611349691</v>
      </c>
      <c r="AB244" s="85">
        <f t="shared" si="93"/>
        <v>1952.4016865710717</v>
      </c>
      <c r="AC244" s="85">
        <f t="shared" si="94"/>
        <v>1974.0246968191539</v>
      </c>
      <c r="AD244" s="41"/>
    </row>
    <row r="245" spans="17:30" hidden="1" x14ac:dyDescent="0.35">
      <c r="Q245" s="3" t="str">
        <f t="shared" si="85"/>
        <v>Ludzas novads</v>
      </c>
      <c r="R245" s="3"/>
      <c r="S245" s="85">
        <f t="shared" si="86"/>
        <v>1900.1759692983833</v>
      </c>
      <c r="T245" s="85">
        <f t="shared" si="87"/>
        <v>1887.2936596872935</v>
      </c>
      <c r="U245" s="85">
        <f t="shared" si="88"/>
        <v>1917.9635867322531</v>
      </c>
      <c r="V245" s="85">
        <f t="shared" si="89"/>
        <v>1913.8400555127769</v>
      </c>
      <c r="W245" s="85">
        <f t="shared" si="90"/>
        <v>2054.0547542872637</v>
      </c>
      <c r="X245" s="85">
        <f t="shared" si="91"/>
        <v>2073.7041960996967</v>
      </c>
      <c r="Y245" s="85">
        <f t="shared" si="95"/>
        <v>2177.0398047507797</v>
      </c>
      <c r="Z245" s="85">
        <f t="shared" si="95"/>
        <v>2069.7830462164561</v>
      </c>
      <c r="AA245" s="85">
        <f t="shared" si="92"/>
        <v>2119.3724935722094</v>
      </c>
      <c r="AB245" s="85">
        <f t="shared" si="93"/>
        <v>2155.8159202881461</v>
      </c>
      <c r="AC245" s="85">
        <f t="shared" si="94"/>
        <v>2180.6852493609549</v>
      </c>
      <c r="AD245" s="41"/>
    </row>
    <row r="246" spans="17:30" hidden="1" x14ac:dyDescent="0.35">
      <c r="Q246" s="3" t="str">
        <f t="shared" si="85"/>
        <v>Preiļu novads</v>
      </c>
      <c r="R246" s="3"/>
      <c r="S246" s="85">
        <f t="shared" si="86"/>
        <v>1426.5838651762058</v>
      </c>
      <c r="T246" s="85">
        <f t="shared" si="87"/>
        <v>1415.9968725818128</v>
      </c>
      <c r="U246" s="85">
        <f t="shared" si="88"/>
        <v>1438.9793219400249</v>
      </c>
      <c r="V246" s="85">
        <f t="shared" si="89"/>
        <v>1442.1345107034488</v>
      </c>
      <c r="W246" s="85">
        <f t="shared" si="90"/>
        <v>1541.6294454620083</v>
      </c>
      <c r="X246" s="85">
        <f t="shared" si="91"/>
        <v>1566.969456170051</v>
      </c>
      <c r="Y246" s="85">
        <f t="shared" si="95"/>
        <v>1647.7742241435262</v>
      </c>
      <c r="Z246" s="85">
        <f t="shared" si="95"/>
        <v>1568.3327178543896</v>
      </c>
      <c r="AA246" s="85">
        <f t="shared" si="92"/>
        <v>1615.4821596800521</v>
      </c>
      <c r="AB246" s="85">
        <f t="shared" si="93"/>
        <v>1642.6871113631391</v>
      </c>
      <c r="AC246" s="85">
        <f t="shared" si="94"/>
        <v>1661.2254537497922</v>
      </c>
      <c r="AD246" s="41"/>
    </row>
    <row r="247" spans="17:30" hidden="1" x14ac:dyDescent="0.35">
      <c r="Q247" s="3" t="str">
        <f t="shared" si="85"/>
        <v>Rēzekne</v>
      </c>
      <c r="R247" s="3"/>
      <c r="S247" s="85">
        <f t="shared" si="86"/>
        <v>9336.6524550859995</v>
      </c>
      <c r="T247" s="85">
        <f t="shared" si="87"/>
        <v>8996.4251713964004</v>
      </c>
      <c r="U247" s="85">
        <f t="shared" si="88"/>
        <v>9124.7754436756004</v>
      </c>
      <c r="V247" s="85">
        <f t="shared" si="89"/>
        <v>8841.4099287096014</v>
      </c>
      <c r="W247" s="85">
        <f t="shared" si="90"/>
        <v>9157.0136862918007</v>
      </c>
      <c r="X247" s="85">
        <f t="shared" si="91"/>
        <v>8086.4425559560004</v>
      </c>
      <c r="Y247" s="85">
        <f t="shared" si="95"/>
        <v>8437.0232506629163</v>
      </c>
      <c r="Z247" s="85">
        <f t="shared" si="95"/>
        <v>8124.2202710814054</v>
      </c>
      <c r="AA247" s="85">
        <f t="shared" si="92"/>
        <v>8272.0536228624296</v>
      </c>
      <c r="AB247" s="85">
        <f t="shared" si="93"/>
        <v>8392.8160530412806</v>
      </c>
      <c r="AC247" s="85">
        <f t="shared" si="94"/>
        <v>8466.9821904493256</v>
      </c>
      <c r="AD247" s="41"/>
    </row>
    <row r="248" spans="17:30" hidden="1" x14ac:dyDescent="0.35">
      <c r="Q248" s="3" t="str">
        <f t="shared" si="85"/>
        <v>Rēzeknes novads</v>
      </c>
      <c r="R248" s="3"/>
      <c r="S248" s="85">
        <f t="shared" si="86"/>
        <v>3859.6719422955734</v>
      </c>
      <c r="T248" s="85">
        <f t="shared" si="87"/>
        <v>3847.1917409876783</v>
      </c>
      <c r="U248" s="85">
        <f t="shared" si="88"/>
        <v>3931.7529768167142</v>
      </c>
      <c r="V248" s="85">
        <f t="shared" si="89"/>
        <v>3941.3618855179425</v>
      </c>
      <c r="W248" s="85">
        <f t="shared" si="90"/>
        <v>4182.1193313406666</v>
      </c>
      <c r="X248" s="85">
        <f t="shared" si="91"/>
        <v>4221.2306582010087</v>
      </c>
      <c r="Y248" s="85">
        <f t="shared" si="95"/>
        <v>4406.7384109447767</v>
      </c>
      <c r="Z248" s="85">
        <f t="shared" si="95"/>
        <v>4285.388957630872</v>
      </c>
      <c r="AA248" s="85">
        <f t="shared" si="92"/>
        <v>4377.0395037196222</v>
      </c>
      <c r="AB248" s="85">
        <f t="shared" si="93"/>
        <v>4466.301649623837</v>
      </c>
      <c r="AC248" s="85">
        <f t="shared" si="94"/>
        <v>4532.5869265072442</v>
      </c>
      <c r="AD248" s="41"/>
    </row>
    <row r="249" spans="17:30" hidden="1" x14ac:dyDescent="0.35">
      <c r="Q249" s="3" t="str">
        <f t="shared" si="85"/>
        <v>Riebiņu novads</v>
      </c>
      <c r="R249" s="3"/>
      <c r="S249" s="85">
        <f t="shared" si="86"/>
        <v>744.33468510647629</v>
      </c>
      <c r="T249" s="85">
        <f t="shared" si="87"/>
        <v>740.08762456671161</v>
      </c>
      <c r="U249" s="85">
        <f t="shared" si="88"/>
        <v>749.81519843570356</v>
      </c>
      <c r="V249" s="85">
        <f t="shared" si="89"/>
        <v>749.56151830890747</v>
      </c>
      <c r="W249" s="85">
        <f t="shared" si="90"/>
        <v>791.8567311645146</v>
      </c>
      <c r="X249" s="85">
        <f t="shared" si="91"/>
        <v>798.18237380480412</v>
      </c>
      <c r="Y249" s="85">
        <f t="shared" si="95"/>
        <v>825.58290398264637</v>
      </c>
      <c r="Z249" s="85">
        <f t="shared" si="95"/>
        <v>800.03174794694894</v>
      </c>
      <c r="AA249" s="85">
        <f t="shared" si="92"/>
        <v>806.29675068519362</v>
      </c>
      <c r="AB249" s="85">
        <f t="shared" si="93"/>
        <v>819.28129156093564</v>
      </c>
      <c r="AC249" s="85">
        <f t="shared" si="94"/>
        <v>827.99799636007481</v>
      </c>
      <c r="AD249" s="41"/>
    </row>
    <row r="250" spans="17:30" hidden="1" x14ac:dyDescent="0.35">
      <c r="Q250" s="3" t="str">
        <f t="shared" si="85"/>
        <v>Rugāju novads</v>
      </c>
      <c r="R250" s="3"/>
      <c r="S250" s="85">
        <f t="shared" si="86"/>
        <v>327.02053321137214</v>
      </c>
      <c r="T250" s="85">
        <f t="shared" si="87"/>
        <v>324.54316895136066</v>
      </c>
      <c r="U250" s="85">
        <f t="shared" si="88"/>
        <v>328.00796132341776</v>
      </c>
      <c r="V250" s="85">
        <f t="shared" si="89"/>
        <v>338.53546611824402</v>
      </c>
      <c r="W250" s="85">
        <f t="shared" si="90"/>
        <v>356.6660739840982</v>
      </c>
      <c r="X250" s="85">
        <f t="shared" si="91"/>
        <v>360.76039494002447</v>
      </c>
      <c r="Y250" s="85">
        <f t="shared" si="95"/>
        <v>376.28729980441483</v>
      </c>
      <c r="Z250" s="85">
        <f t="shared" si="95"/>
        <v>362.04297566389886</v>
      </c>
      <c r="AA250" s="85">
        <f t="shared" si="92"/>
        <v>365.77635846130812</v>
      </c>
      <c r="AB250" s="85">
        <f t="shared" si="93"/>
        <v>375.51954851179727</v>
      </c>
      <c r="AC250" s="85">
        <f t="shared" si="94"/>
        <v>383.4938088404557</v>
      </c>
      <c r="AD250" s="41"/>
    </row>
    <row r="251" spans="17:30" hidden="1" x14ac:dyDescent="0.35">
      <c r="Q251" s="3" t="str">
        <f t="shared" si="85"/>
        <v>Vārkavas novads</v>
      </c>
      <c r="R251" s="3"/>
      <c r="S251" s="85">
        <f t="shared" si="86"/>
        <v>285.81456327607026</v>
      </c>
      <c r="T251" s="85">
        <f t="shared" si="87"/>
        <v>285.64292758419191</v>
      </c>
      <c r="U251" s="85">
        <f t="shared" si="88"/>
        <v>290.80670533925257</v>
      </c>
      <c r="V251" s="85">
        <f t="shared" si="89"/>
        <v>289.51942828516206</v>
      </c>
      <c r="W251" s="85">
        <f t="shared" si="90"/>
        <v>311.35722823837864</v>
      </c>
      <c r="X251" s="85">
        <f t="shared" si="91"/>
        <v>312.15795284393789</v>
      </c>
      <c r="Y251" s="85">
        <f t="shared" si="95"/>
        <v>325.59204688958852</v>
      </c>
      <c r="Z251" s="85">
        <f t="shared" si="95"/>
        <v>317.3077803950838</v>
      </c>
      <c r="AA251" s="85">
        <f t="shared" si="92"/>
        <v>316.66916719700617</v>
      </c>
      <c r="AB251" s="85">
        <f t="shared" si="93"/>
        <v>323.21303127026385</v>
      </c>
      <c r="AC251" s="85">
        <f t="shared" si="94"/>
        <v>328.2939424164507</v>
      </c>
      <c r="AD251" s="41"/>
    </row>
    <row r="252" spans="17:30" hidden="1" x14ac:dyDescent="0.35">
      <c r="Q252" s="3" t="str">
        <f t="shared" si="85"/>
        <v>Viļakas novads</v>
      </c>
      <c r="R252" s="3"/>
      <c r="S252" s="85">
        <f t="shared" si="86"/>
        <v>753.73738965547136</v>
      </c>
      <c r="T252" s="85">
        <f t="shared" si="87"/>
        <v>746.26672427846415</v>
      </c>
      <c r="U252" s="85">
        <f t="shared" si="88"/>
        <v>746.92015905950382</v>
      </c>
      <c r="V252" s="85">
        <f t="shared" si="89"/>
        <v>740.40792088224771</v>
      </c>
      <c r="W252" s="85">
        <f t="shared" si="90"/>
        <v>785.72955629498665</v>
      </c>
      <c r="X252" s="85">
        <f t="shared" si="91"/>
        <v>790.49951354219263</v>
      </c>
      <c r="Y252" s="85">
        <f t="shared" si="95"/>
        <v>820.40627604416056</v>
      </c>
      <c r="Z252" s="85">
        <f t="shared" si="95"/>
        <v>789.10803747433135</v>
      </c>
      <c r="AA252" s="85">
        <f t="shared" si="92"/>
        <v>808.10216212873411</v>
      </c>
      <c r="AB252" s="85">
        <f t="shared" si="93"/>
        <v>815.90667754535286</v>
      </c>
      <c r="AC252" s="85">
        <f t="shared" si="94"/>
        <v>818.89486049365996</v>
      </c>
      <c r="AD252" s="41"/>
    </row>
    <row r="253" spans="17:30" hidden="1" x14ac:dyDescent="0.35">
      <c r="Q253" s="3" t="str">
        <f t="shared" si="85"/>
        <v>Viļānu novads</v>
      </c>
      <c r="R253" s="3"/>
      <c r="S253" s="85">
        <f t="shared" si="86"/>
        <v>865.04881850754521</v>
      </c>
      <c r="T253" s="85">
        <f t="shared" si="87"/>
        <v>858.47355768051386</v>
      </c>
      <c r="U253" s="85">
        <f t="shared" si="88"/>
        <v>872.27536404894772</v>
      </c>
      <c r="V253" s="85">
        <f t="shared" si="89"/>
        <v>871.65869688709677</v>
      </c>
      <c r="W253" s="85">
        <f t="shared" si="90"/>
        <v>931.81430450004666</v>
      </c>
      <c r="X253" s="85">
        <f t="shared" si="91"/>
        <v>945.15883100259202</v>
      </c>
      <c r="Y253" s="85">
        <f t="shared" si="95"/>
        <v>985.70136125236195</v>
      </c>
      <c r="Z253" s="85">
        <f t="shared" si="95"/>
        <v>954.69761686083689</v>
      </c>
      <c r="AA253" s="85">
        <f t="shared" si="92"/>
        <v>974.74163836752371</v>
      </c>
      <c r="AB253" s="85">
        <f t="shared" si="93"/>
        <v>992.32399913776476</v>
      </c>
      <c r="AC253" s="85">
        <f t="shared" si="94"/>
        <v>1004.4438851750522</v>
      </c>
      <c r="AD253" s="41"/>
    </row>
    <row r="254" spans="17:30" hidden="1" x14ac:dyDescent="0.35">
      <c r="Q254" s="3" t="str">
        <f t="shared" si="85"/>
        <v>Zilupes novads</v>
      </c>
      <c r="R254" s="3"/>
      <c r="S254" s="85">
        <f t="shared" si="86"/>
        <v>450.36189288348373</v>
      </c>
      <c r="T254" s="85">
        <f t="shared" si="87"/>
        <v>444.75474516181703</v>
      </c>
      <c r="U254" s="85">
        <f t="shared" si="88"/>
        <v>445.83606393474258</v>
      </c>
      <c r="V254" s="85">
        <f t="shared" si="89"/>
        <v>441.29197916590988</v>
      </c>
      <c r="W254" s="85">
        <f t="shared" si="90"/>
        <v>459.37687377065811</v>
      </c>
      <c r="X254" s="85">
        <f t="shared" si="91"/>
        <v>461.97372796486474</v>
      </c>
      <c r="Y254" s="85">
        <f t="shared" si="95"/>
        <v>472.50117769558159</v>
      </c>
      <c r="Z254" s="85">
        <f t="shared" si="95"/>
        <v>454.46103410683861</v>
      </c>
      <c r="AA254" s="85">
        <f t="shared" si="92"/>
        <v>460.19937695847705</v>
      </c>
      <c r="AB254" s="85">
        <f t="shared" si="93"/>
        <v>464.75934136832024</v>
      </c>
      <c r="AC254" s="85">
        <f t="shared" si="94"/>
        <v>466.77781783105974</v>
      </c>
      <c r="AD254" s="41"/>
    </row>
    <row r="255" spans="17:30" hidden="1" x14ac:dyDescent="0.35">
      <c r="AD255" s="41"/>
    </row>
    <row r="256" spans="17:30" x14ac:dyDescent="0.35">
      <c r="AD256" s="41"/>
    </row>
    <row r="257" spans="30:30" x14ac:dyDescent="0.35">
      <c r="AD257" s="41"/>
    </row>
  </sheetData>
  <sheetProtection algorithmName="SHA-512" hashValue="nmnsVvAQ6IOIn+1KJI1msXfoKOCaBSMRrAoj1xpqalIfNTZmiyVxRRCciZQyAI4suEg1ZAqY5YnQUwG0+YWZ1A==" saltValue="pywRBGcclkyBlMgvJGPW+A==" spinCount="100000" sheet="1" objects="1" scenarios="1"/>
  <autoFilter ref="A4:AD124" xr:uid="{AC7F71B1-0185-406A-A494-28AF6E2C9F95}"/>
  <mergeCells count="32">
    <mergeCell ref="A69:O69"/>
    <mergeCell ref="A74:O74"/>
    <mergeCell ref="A79:I79"/>
    <mergeCell ref="A67:A68"/>
    <mergeCell ref="B67:I67"/>
    <mergeCell ref="J67:L67"/>
    <mergeCell ref="N67:N68"/>
    <mergeCell ref="O67:O68"/>
    <mergeCell ref="A35:G35"/>
    <mergeCell ref="A36:O36"/>
    <mergeCell ref="O37:O50"/>
    <mergeCell ref="N37:N50"/>
    <mergeCell ref="A51:O51"/>
    <mergeCell ref="R2:R4"/>
    <mergeCell ref="Q2:Q4"/>
    <mergeCell ref="O3:O4"/>
    <mergeCell ref="S2:AC2"/>
    <mergeCell ref="N3:N4"/>
    <mergeCell ref="S3:X3"/>
    <mergeCell ref="Y3:AC3"/>
    <mergeCell ref="J3:L3"/>
    <mergeCell ref="B3:I3"/>
    <mergeCell ref="A3:A4"/>
    <mergeCell ref="A14:O14"/>
    <mergeCell ref="O15:O28"/>
    <mergeCell ref="N15:N28"/>
    <mergeCell ref="A29:O29"/>
    <mergeCell ref="B12:I12"/>
    <mergeCell ref="J12:L12"/>
    <mergeCell ref="N12:N13"/>
    <mergeCell ref="O12:O13"/>
    <mergeCell ref="A12:A13"/>
  </mergeCells>
  <phoneticPr fontId="4" type="noConversion"/>
  <hyperlinks>
    <hyperlink ref="O6" r:id="rId1" xr:uid="{D86BE01C-8D5A-4977-B703-38EE2F968DBC}"/>
    <hyperlink ref="O8" r:id="rId2" xr:uid="{7FCD9267-4E7D-44DC-8062-A12C5F39CAB9}"/>
    <hyperlink ref="O5" r:id="rId3" xr:uid="{86C32A55-2D97-40B9-997D-0AE39D2D17D5}"/>
    <hyperlink ref="O7" r:id="rId4" xr:uid="{B116DA35-450C-447D-836F-6C62AC4A8813}"/>
    <hyperlink ref="O9" r:id="rId5" xr:uid="{AAF122BD-8534-4EF1-9010-DD926E6D67E0}"/>
    <hyperlink ref="O10" r:id="rId6" xr:uid="{36BCD2F5-82DE-4522-BB86-4B657A0B6EAE}"/>
    <hyperlink ref="O15" r:id="rId7" xr:uid="{E80898DD-F038-437C-8281-A833A31DDE71}"/>
    <hyperlink ref="O37" r:id="rId8" xr:uid="{819C6042-A834-4E78-8298-8E8BF6271B65}"/>
  </hyperlinks>
  <pageMargins left="0.7" right="0.7" top="0.75" bottom="0.75" header="0.3" footer="0.3"/>
  <pageSetup paperSize="9" orientation="portrait" verticalDpi="0" r:id="rId9"/>
  <drawing r:id="rId10"/>
  <legacy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21607-C6B1-4AD2-A960-8AACF62574E1}">
  <dimension ref="A1:M7"/>
  <sheetViews>
    <sheetView workbookViewId="0">
      <selection activeCell="L17" sqref="L17"/>
    </sheetView>
  </sheetViews>
  <sheetFormatPr defaultColWidth="8.90625" defaultRowHeight="14.5" x14ac:dyDescent="0.35"/>
  <cols>
    <col min="1" max="1" width="35.08984375" style="4" customWidth="1"/>
    <col min="2" max="12" width="11.453125" style="4" customWidth="1"/>
    <col min="13" max="13" width="134.81640625" style="4" customWidth="1"/>
    <col min="14" max="16384" width="8.90625" style="4"/>
  </cols>
  <sheetData>
    <row r="1" spans="1:13" ht="26" x14ac:dyDescent="0.6">
      <c r="A1" s="39" t="s">
        <v>414</v>
      </c>
    </row>
    <row r="3" spans="1:13" x14ac:dyDescent="0.35">
      <c r="A3" s="1"/>
      <c r="B3" s="216" t="s">
        <v>401</v>
      </c>
      <c r="C3" s="216"/>
      <c r="D3" s="216"/>
      <c r="E3" s="216"/>
      <c r="F3" s="216"/>
      <c r="G3" s="216"/>
      <c r="H3" s="216"/>
      <c r="I3" s="216"/>
      <c r="J3" s="216" t="s">
        <v>290</v>
      </c>
      <c r="K3" s="216"/>
      <c r="L3" s="216"/>
      <c r="M3" s="233" t="s">
        <v>419</v>
      </c>
    </row>
    <row r="4" spans="1:13" x14ac:dyDescent="0.35">
      <c r="A4" s="1"/>
      <c r="B4" s="106">
        <v>2013</v>
      </c>
      <c r="C4" s="106">
        <v>2014</v>
      </c>
      <c r="D4" s="106">
        <v>2015</v>
      </c>
      <c r="E4" s="106">
        <v>2016</v>
      </c>
      <c r="F4" s="106">
        <v>2017</v>
      </c>
      <c r="G4" s="106">
        <v>2018</v>
      </c>
      <c r="H4" s="106">
        <v>2019</v>
      </c>
      <c r="I4" s="106">
        <v>2020</v>
      </c>
      <c r="J4" s="106">
        <v>2021</v>
      </c>
      <c r="K4" s="106">
        <v>2022</v>
      </c>
      <c r="L4" s="106">
        <v>2023</v>
      </c>
      <c r="M4" s="234"/>
    </row>
    <row r="5" spans="1:13" ht="29" x14ac:dyDescent="0.35">
      <c r="A5" s="5" t="s">
        <v>415</v>
      </c>
      <c r="B5" s="100">
        <v>704387.45539999998</v>
      </c>
      <c r="C5" s="100">
        <v>726012.32699999982</v>
      </c>
      <c r="D5" s="100">
        <v>798114.07250000013</v>
      </c>
      <c r="E5" s="100">
        <v>802473.58310000016</v>
      </c>
      <c r="F5" s="100">
        <v>798060</v>
      </c>
      <c r="G5" s="100">
        <v>785069.37971000001</v>
      </c>
      <c r="H5" s="100">
        <v>840942.11399999994</v>
      </c>
      <c r="I5" s="101">
        <f>I6*I7</f>
        <v>837917.36022962502</v>
      </c>
      <c r="J5" s="101">
        <f>J6*J7</f>
        <v>853164.62430482276</v>
      </c>
      <c r="K5" s="101">
        <f>K6*K7</f>
        <v>865619.84256996086</v>
      </c>
      <c r="L5" s="101">
        <f>L6*L7</f>
        <v>873269.20361653226</v>
      </c>
      <c r="M5" s="97" t="s">
        <v>418</v>
      </c>
    </row>
    <row r="6" spans="1:13" ht="29" x14ac:dyDescent="0.35">
      <c r="A6" s="5" t="s">
        <v>416</v>
      </c>
      <c r="B6" s="102">
        <f>IKP!B5</f>
        <v>22749010</v>
      </c>
      <c r="C6" s="102">
        <f>IKP!C5</f>
        <v>23625802</v>
      </c>
      <c r="D6" s="102">
        <f>IKP!D5</f>
        <v>24572126</v>
      </c>
      <c r="E6" s="102">
        <f>IKP!E5</f>
        <v>25371324</v>
      </c>
      <c r="F6" s="102">
        <f>IKP!F5</f>
        <v>26984433</v>
      </c>
      <c r="G6" s="102">
        <f>IKP!G5</f>
        <v>29153556</v>
      </c>
      <c r="H6" s="102">
        <f>IKP!H5</f>
        <v>30647222</v>
      </c>
      <c r="I6" s="102">
        <f>IKP!I5</f>
        <v>29510975</v>
      </c>
      <c r="J6" s="103">
        <f>IKP!J5</f>
        <v>31075056.674999997</v>
      </c>
      <c r="K6" s="103">
        <f>IKP!K5</f>
        <v>32659884.565424994</v>
      </c>
      <c r="L6" s="103">
        <f>IKP!L5</f>
        <v>33900960.178911142</v>
      </c>
      <c r="M6" s="107"/>
    </row>
    <row r="7" spans="1:13" ht="43.5" x14ac:dyDescent="0.35">
      <c r="A7" s="5" t="s">
        <v>417</v>
      </c>
      <c r="B7" s="104">
        <f t="shared" ref="B7:H7" si="0">B5/B6</f>
        <v>3.0963433371386271E-2</v>
      </c>
      <c r="C7" s="104">
        <f t="shared" si="0"/>
        <v>3.0729637326174147E-2</v>
      </c>
      <c r="D7" s="104">
        <f t="shared" si="0"/>
        <v>3.2480464755064338E-2</v>
      </c>
      <c r="E7" s="104">
        <f t="shared" si="0"/>
        <v>3.1629156724339656E-2</v>
      </c>
      <c r="F7" s="104">
        <f t="shared" si="0"/>
        <v>2.957482930992102E-2</v>
      </c>
      <c r="G7" s="104">
        <f t="shared" si="0"/>
        <v>2.6928769159755332E-2</v>
      </c>
      <c r="H7" s="104">
        <f t="shared" si="0"/>
        <v>2.7439423840764424E-2</v>
      </c>
      <c r="I7" s="105">
        <f>(-0.0000000006)*I6 + 0.0461</f>
        <v>2.8393415000000002E-2</v>
      </c>
      <c r="J7" s="105">
        <f>(-0.0000000006)*J6 + 0.0461</f>
        <v>2.7454965995000004E-2</v>
      </c>
      <c r="K7" s="105">
        <f>(-0.0000000006)*K6 + 0.0461</f>
        <v>2.6504069260745007E-2</v>
      </c>
      <c r="L7" s="105">
        <f>(-0.0000000006)*L6 + 0.0461</f>
        <v>2.5759423892653316E-2</v>
      </c>
      <c r="M7" s="3"/>
    </row>
  </sheetData>
  <sheetProtection algorithmName="SHA-512" hashValue="7jfsJQn7YASRd8mz4iYDuRVAw0SlWrGgrfCmsxqldg012BUuW5XK+TRQNC7cGVykDVLU/kFuU0/mdsvT0a3ZBw==" saltValue="TYFIa7DWq+YeUFI7/tNi/w==" spinCount="100000" sheet="1" objects="1" scenarios="1"/>
  <mergeCells count="3">
    <mergeCell ref="B3:I3"/>
    <mergeCell ref="J3:L3"/>
    <mergeCell ref="M3:M4"/>
  </mergeCells>
  <hyperlinks>
    <hyperlink ref="M5" r:id="rId1" display="https://ec.europa.eu/eurostat/databrowser/view/env_wasmun/default/table?lang=en" xr:uid="{0B2B6D38-C526-4FD5-A41B-B97907ED5AD2}"/>
  </hyperlinks>
  <pageMargins left="0.7" right="0.7" top="0.75" bottom="0.75" header="0.3" footer="0.3"/>
  <pageSetup paperSize="9" orientation="portrait" verticalDpi="0"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2059E-C8C9-44BA-9CD6-D6B5AD621824}">
  <dimension ref="A1:Q139"/>
  <sheetViews>
    <sheetView zoomScale="85" zoomScaleNormal="85" workbookViewId="0">
      <pane xSplit="1" ySplit="3" topLeftCell="J4" activePane="bottomRight" state="frozen"/>
      <selection pane="topRight" activeCell="B1" sqref="B1"/>
      <selection pane="bottomLeft" activeCell="A3" sqref="A3"/>
      <selection pane="bottomRight" activeCell="P5" sqref="P5"/>
    </sheetView>
  </sheetViews>
  <sheetFormatPr defaultColWidth="8.90625" defaultRowHeight="14.5" x14ac:dyDescent="0.35"/>
  <cols>
    <col min="1" max="2" width="20.1796875" style="4" customWidth="1"/>
    <col min="3" max="6" width="20.36328125" style="4" customWidth="1"/>
    <col min="7" max="7" width="44.1796875" style="4" customWidth="1"/>
    <col min="8" max="8" width="25.54296875" style="4" customWidth="1"/>
    <col min="9" max="9" width="34" style="4" customWidth="1"/>
    <col min="10" max="10" width="25.54296875" style="4" customWidth="1"/>
    <col min="11" max="11" width="23.54296875" style="4" hidden="1" customWidth="1"/>
    <col min="12" max="12" width="25.453125" style="4" customWidth="1"/>
    <col min="13" max="14" width="25.1796875" style="4" customWidth="1"/>
    <col min="15" max="16" width="8.90625" style="4"/>
    <col min="17" max="17" width="92.36328125" style="4" customWidth="1"/>
    <col min="18" max="16384" width="8.90625" style="4"/>
  </cols>
  <sheetData>
    <row r="1" spans="1:17" ht="26.4" customHeight="1" x14ac:dyDescent="0.6">
      <c r="B1" s="40" t="s">
        <v>379</v>
      </c>
      <c r="C1" s="41"/>
      <c r="D1" s="42"/>
      <c r="E1" s="41"/>
      <c r="F1" s="42"/>
      <c r="G1" s="41"/>
      <c r="H1" s="41"/>
      <c r="I1" s="41"/>
      <c r="J1" s="41"/>
      <c r="K1" s="43"/>
      <c r="L1" s="41"/>
      <c r="M1" s="44"/>
      <c r="N1" s="41"/>
      <c r="O1" s="41"/>
      <c r="P1" s="41"/>
      <c r="Q1" s="44"/>
    </row>
    <row r="2" spans="1:17" ht="18.649999999999999" customHeight="1" x14ac:dyDescent="0.35">
      <c r="A2" s="207" t="s">
        <v>357</v>
      </c>
      <c r="B2" s="207" t="s">
        <v>170</v>
      </c>
      <c r="C2" s="49" t="s">
        <v>356</v>
      </c>
      <c r="D2" s="49"/>
      <c r="E2" s="49" t="s">
        <v>144</v>
      </c>
      <c r="F2" s="49"/>
      <c r="G2" s="207" t="s">
        <v>149</v>
      </c>
      <c r="H2" s="207" t="s">
        <v>142</v>
      </c>
      <c r="I2" s="207" t="s">
        <v>143</v>
      </c>
      <c r="J2" s="207" t="s">
        <v>142</v>
      </c>
      <c r="K2" s="50"/>
      <c r="L2" s="216" t="s">
        <v>376</v>
      </c>
      <c r="M2" s="235"/>
      <c r="N2" s="207" t="s">
        <v>337</v>
      </c>
      <c r="O2" s="41"/>
      <c r="P2" s="207" t="s">
        <v>341</v>
      </c>
      <c r="Q2" s="207"/>
    </row>
    <row r="3" spans="1:17" s="6" customFormat="1" ht="31.25" customHeight="1" x14ac:dyDescent="0.35">
      <c r="A3" s="207"/>
      <c r="B3" s="207"/>
      <c r="C3" s="2" t="s">
        <v>141</v>
      </c>
      <c r="D3" s="2" t="s">
        <v>145</v>
      </c>
      <c r="E3" s="2" t="s">
        <v>141</v>
      </c>
      <c r="F3" s="2" t="s">
        <v>145</v>
      </c>
      <c r="G3" s="207"/>
      <c r="H3" s="207"/>
      <c r="I3" s="207"/>
      <c r="J3" s="207"/>
      <c r="K3" s="50"/>
      <c r="L3" s="2" t="s">
        <v>375</v>
      </c>
      <c r="M3" s="51" t="s">
        <v>377</v>
      </c>
      <c r="N3" s="207"/>
      <c r="O3" s="44"/>
      <c r="P3" s="207"/>
      <c r="Q3" s="207"/>
    </row>
    <row r="4" spans="1:17" x14ac:dyDescent="0.35">
      <c r="A4" s="24" t="s">
        <v>2</v>
      </c>
      <c r="B4" s="25" t="s">
        <v>2</v>
      </c>
      <c r="C4" s="26">
        <v>11.72</v>
      </c>
      <c r="D4" s="26"/>
      <c r="E4" s="26"/>
      <c r="F4" s="26"/>
      <c r="G4" s="27" t="s">
        <v>358</v>
      </c>
      <c r="H4" s="45" t="s">
        <v>232</v>
      </c>
      <c r="I4" s="27"/>
      <c r="J4" s="27"/>
      <c r="K4" s="27"/>
      <c r="L4" s="26">
        <f>C4*1000/$P$4</f>
        <v>58.6</v>
      </c>
      <c r="M4" s="27" t="str">
        <f>IF(E4="","",E4*(0.9*1000/$P$5+0.1*1000/$P$6))</f>
        <v/>
      </c>
      <c r="N4" s="26">
        <f>IF(M4="",C4*($P$7*1000/$P$5+$P$8*1000/$P$6)*$P$9,M4)</f>
        <v>27.346666666666668</v>
      </c>
      <c r="P4" s="27">
        <v>200</v>
      </c>
      <c r="Q4" s="46" t="s">
        <v>334</v>
      </c>
    </row>
    <row r="5" spans="1:17" x14ac:dyDescent="0.35">
      <c r="A5" s="7" t="s">
        <v>3</v>
      </c>
      <c r="B5" s="8" t="s">
        <v>3</v>
      </c>
      <c r="C5" s="10">
        <v>23.43</v>
      </c>
      <c r="D5" s="10"/>
      <c r="E5" s="10"/>
      <c r="F5" s="10"/>
      <c r="G5" s="3" t="s">
        <v>201</v>
      </c>
      <c r="H5" s="9" t="s">
        <v>202</v>
      </c>
      <c r="I5" s="11" t="s">
        <v>203</v>
      </c>
      <c r="J5" s="9" t="s">
        <v>204</v>
      </c>
      <c r="K5" s="9"/>
      <c r="L5" s="10">
        <f>C5*1000/$P$4</f>
        <v>117.15</v>
      </c>
      <c r="M5" s="3" t="str">
        <f>IF(E5="","",E5*(0.9*1000/$P$5+0.1*1000/$P$6))</f>
        <v/>
      </c>
      <c r="N5" s="10">
        <f>IF(M5="",C5*($P$7*1000/$P$5+$P$8*1000/$P$6)*$P$9,M5)</f>
        <v>54.67</v>
      </c>
      <c r="P5" s="3">
        <v>300</v>
      </c>
      <c r="Q5" s="23" t="s">
        <v>335</v>
      </c>
    </row>
    <row r="6" spans="1:17" x14ac:dyDescent="0.35">
      <c r="A6" s="7" t="s">
        <v>4</v>
      </c>
      <c r="B6" s="8" t="s">
        <v>4</v>
      </c>
      <c r="C6" s="10"/>
      <c r="D6" s="10">
        <v>125.86</v>
      </c>
      <c r="E6" s="10"/>
      <c r="F6" s="10"/>
      <c r="G6" s="3" t="s">
        <v>139</v>
      </c>
      <c r="H6" s="9" t="s">
        <v>209</v>
      </c>
      <c r="I6" s="3"/>
      <c r="J6" s="3"/>
      <c r="K6" s="3"/>
      <c r="L6" s="10">
        <f>D6</f>
        <v>125.86</v>
      </c>
      <c r="M6" s="3" t="str">
        <f>IF(E6="","",E6*(0.9*1000/$P$5+0.1*1000/$P$6))</f>
        <v/>
      </c>
      <c r="N6" s="10">
        <f>L6*0.7</f>
        <v>88.10199999999999</v>
      </c>
      <c r="P6" s="3">
        <v>300</v>
      </c>
      <c r="Q6" s="23" t="s">
        <v>336</v>
      </c>
    </row>
    <row r="7" spans="1:17" x14ac:dyDescent="0.35">
      <c r="A7" s="7" t="s">
        <v>5</v>
      </c>
      <c r="B7" s="8" t="s">
        <v>5</v>
      </c>
      <c r="C7" s="10">
        <v>20.57</v>
      </c>
      <c r="D7" s="10"/>
      <c r="E7" s="10"/>
      <c r="F7" s="10">
        <f>23.4*P10</f>
        <v>28.313999999999997</v>
      </c>
      <c r="G7" s="3" t="s">
        <v>365</v>
      </c>
      <c r="H7" s="9" t="s">
        <v>238</v>
      </c>
      <c r="I7" s="11" t="s">
        <v>256</v>
      </c>
      <c r="J7" s="9" t="s">
        <v>257</v>
      </c>
      <c r="K7" s="9"/>
      <c r="L7" s="10">
        <f t="shared" ref="L7:L38" si="0">C7*1000/$P$4</f>
        <v>102.85</v>
      </c>
      <c r="M7" s="10">
        <f>F7</f>
        <v>28.313999999999997</v>
      </c>
      <c r="N7" s="10">
        <f t="shared" ref="N7:N38" si="1">IF(M7="",C7*($P$7*1000/$P$5+$P$8*1000/$P$6)*$P$9,M7)</f>
        <v>28.313999999999997</v>
      </c>
      <c r="P7" s="3">
        <v>0.9</v>
      </c>
      <c r="Q7" s="23" t="s">
        <v>338</v>
      </c>
    </row>
    <row r="8" spans="1:17" x14ac:dyDescent="0.35">
      <c r="A8" s="7" t="s">
        <v>352</v>
      </c>
      <c r="B8" s="8" t="s">
        <v>6</v>
      </c>
      <c r="C8" s="10">
        <v>18.59</v>
      </c>
      <c r="D8" s="10"/>
      <c r="E8" s="10"/>
      <c r="F8" s="10"/>
      <c r="G8" s="3" t="s">
        <v>215</v>
      </c>
      <c r="H8" s="9" t="s">
        <v>218</v>
      </c>
      <c r="I8" s="3"/>
      <c r="J8" s="3"/>
      <c r="K8" s="3"/>
      <c r="L8" s="10">
        <f t="shared" si="0"/>
        <v>92.95</v>
      </c>
      <c r="M8" s="3" t="str">
        <f t="shared" ref="M8:M14" si="2">IF(E8="","",E8*(0.9*1000/$P$5+0.1*1000/$P$6))</f>
        <v/>
      </c>
      <c r="N8" s="10">
        <f>IF(M8="",C8*($P$7*1000/$P$5+$P$8*1000/$P$6)*$P$9,M8)</f>
        <v>43.376666666666665</v>
      </c>
      <c r="P8" s="3">
        <v>0.1</v>
      </c>
      <c r="Q8" s="23" t="s">
        <v>431</v>
      </c>
    </row>
    <row r="9" spans="1:17" x14ac:dyDescent="0.35">
      <c r="A9" s="7" t="s">
        <v>353</v>
      </c>
      <c r="B9" s="8" t="s">
        <v>6</v>
      </c>
      <c r="C9" s="10">
        <v>17.05</v>
      </c>
      <c r="D9" s="10"/>
      <c r="E9" s="10"/>
      <c r="F9" s="10"/>
      <c r="G9" s="3" t="s">
        <v>216</v>
      </c>
      <c r="H9" s="9" t="s">
        <v>217</v>
      </c>
      <c r="I9" s="3"/>
      <c r="J9" s="3"/>
      <c r="K9" s="3"/>
      <c r="L9" s="10">
        <f t="shared" si="0"/>
        <v>85.25</v>
      </c>
      <c r="M9" s="3" t="str">
        <f t="shared" si="2"/>
        <v/>
      </c>
      <c r="N9" s="10">
        <f t="shared" si="1"/>
        <v>39.783333333333331</v>
      </c>
      <c r="P9" s="3">
        <v>0.7</v>
      </c>
      <c r="Q9" s="23" t="s">
        <v>339</v>
      </c>
    </row>
    <row r="10" spans="1:17" x14ac:dyDescent="0.35">
      <c r="A10" s="7" t="s">
        <v>7</v>
      </c>
      <c r="B10" s="8" t="s">
        <v>7</v>
      </c>
      <c r="C10" s="10">
        <v>15.73</v>
      </c>
      <c r="D10" s="10"/>
      <c r="E10" s="10"/>
      <c r="F10" s="10"/>
      <c r="G10" s="3" t="s">
        <v>359</v>
      </c>
      <c r="H10" s="9" t="s">
        <v>237</v>
      </c>
      <c r="I10" s="3"/>
      <c r="J10" s="3"/>
      <c r="K10" s="3"/>
      <c r="L10" s="10">
        <f t="shared" si="0"/>
        <v>78.650000000000006</v>
      </c>
      <c r="M10" s="3" t="str">
        <f t="shared" si="2"/>
        <v/>
      </c>
      <c r="N10" s="10">
        <f t="shared" si="1"/>
        <v>36.703333333333333</v>
      </c>
      <c r="P10" s="3">
        <v>1.21</v>
      </c>
      <c r="Q10" s="23" t="s">
        <v>378</v>
      </c>
    </row>
    <row r="11" spans="1:17" x14ac:dyDescent="0.35">
      <c r="A11" s="7" t="s">
        <v>135</v>
      </c>
      <c r="B11" s="8" t="s">
        <v>1</v>
      </c>
      <c r="C11" s="10">
        <v>16.78</v>
      </c>
      <c r="D11" s="35"/>
      <c r="E11" s="10">
        <v>9.36</v>
      </c>
      <c r="F11" s="12"/>
      <c r="G11" s="3" t="s">
        <v>139</v>
      </c>
      <c r="H11" s="13" t="s">
        <v>134</v>
      </c>
      <c r="I11" s="3"/>
      <c r="J11" s="3"/>
      <c r="K11" s="3"/>
      <c r="L11" s="10">
        <f t="shared" si="0"/>
        <v>83.9</v>
      </c>
      <c r="M11" s="10">
        <f t="shared" si="2"/>
        <v>31.2</v>
      </c>
      <c r="N11" s="10">
        <f t="shared" si="1"/>
        <v>31.2</v>
      </c>
    </row>
    <row r="12" spans="1:17" x14ac:dyDescent="0.35">
      <c r="A12" s="7" t="s">
        <v>136</v>
      </c>
      <c r="B12" s="8" t="s">
        <v>1</v>
      </c>
      <c r="C12" s="10">
        <v>17.07</v>
      </c>
      <c r="D12" s="35"/>
      <c r="E12" s="10">
        <v>9.68</v>
      </c>
      <c r="F12" s="12"/>
      <c r="G12" s="3" t="s">
        <v>139</v>
      </c>
      <c r="H12" s="13" t="s">
        <v>134</v>
      </c>
      <c r="I12" s="3"/>
      <c r="J12" s="3"/>
      <c r="K12" s="3"/>
      <c r="L12" s="10">
        <f t="shared" si="0"/>
        <v>85.35</v>
      </c>
      <c r="M12" s="10">
        <f>IF(E12="","",E12*(0.9*1000/$P$5+0.1*1000/$P$6))</f>
        <v>32.266666666666666</v>
      </c>
      <c r="N12" s="10">
        <f t="shared" si="1"/>
        <v>32.266666666666666</v>
      </c>
    </row>
    <row r="13" spans="1:17" x14ac:dyDescent="0.35">
      <c r="A13" s="7" t="s">
        <v>137</v>
      </c>
      <c r="B13" s="8" t="s">
        <v>1</v>
      </c>
      <c r="C13" s="10">
        <v>12.72</v>
      </c>
      <c r="D13" s="35"/>
      <c r="E13" s="10">
        <v>7.26</v>
      </c>
      <c r="F13" s="12"/>
      <c r="G13" s="3" t="s">
        <v>140</v>
      </c>
      <c r="H13" s="13" t="s">
        <v>134</v>
      </c>
      <c r="I13" s="3"/>
      <c r="J13" s="3"/>
      <c r="K13" s="3"/>
      <c r="L13" s="10">
        <f t="shared" si="0"/>
        <v>63.6</v>
      </c>
      <c r="M13" s="10">
        <f t="shared" si="2"/>
        <v>24.2</v>
      </c>
      <c r="N13" s="10">
        <f t="shared" si="1"/>
        <v>24.2</v>
      </c>
    </row>
    <row r="14" spans="1:17" x14ac:dyDescent="0.35">
      <c r="A14" s="7" t="s">
        <v>138</v>
      </c>
      <c r="B14" s="8" t="s">
        <v>1</v>
      </c>
      <c r="C14" s="10">
        <v>17.23</v>
      </c>
      <c r="D14" s="35"/>
      <c r="E14" s="10">
        <v>12.57</v>
      </c>
      <c r="F14" s="12"/>
      <c r="G14" s="3" t="s">
        <v>210</v>
      </c>
      <c r="H14" s="13" t="s">
        <v>134</v>
      </c>
      <c r="I14" s="3"/>
      <c r="J14" s="3"/>
      <c r="K14" s="3"/>
      <c r="L14" s="10">
        <f t="shared" si="0"/>
        <v>86.15</v>
      </c>
      <c r="M14" s="10">
        <f t="shared" si="2"/>
        <v>41.900000000000006</v>
      </c>
      <c r="N14" s="10">
        <f t="shared" si="1"/>
        <v>41.900000000000006</v>
      </c>
    </row>
    <row r="15" spans="1:17" x14ac:dyDescent="0.35">
      <c r="A15" s="7" t="s">
        <v>8</v>
      </c>
      <c r="B15" s="8" t="s">
        <v>194</v>
      </c>
      <c r="C15" s="10">
        <f>19.38*P10</f>
        <v>23.4498</v>
      </c>
      <c r="D15" s="10"/>
      <c r="E15" s="10"/>
      <c r="F15" s="10"/>
      <c r="G15" s="3" t="s">
        <v>150</v>
      </c>
      <c r="H15" s="9" t="s">
        <v>152</v>
      </c>
      <c r="I15" s="3"/>
      <c r="J15" s="9"/>
      <c r="K15" s="9"/>
      <c r="L15" s="10">
        <f t="shared" si="0"/>
        <v>117.249</v>
      </c>
      <c r="M15" s="3"/>
      <c r="N15" s="10">
        <f t="shared" si="1"/>
        <v>54.716199999999994</v>
      </c>
    </row>
    <row r="16" spans="1:17" x14ac:dyDescent="0.35">
      <c r="A16" s="7" t="s">
        <v>9</v>
      </c>
      <c r="B16" s="8" t="s">
        <v>9</v>
      </c>
      <c r="C16" s="10">
        <v>13.13</v>
      </c>
      <c r="D16" s="10"/>
      <c r="E16" s="10"/>
      <c r="F16" s="10"/>
      <c r="G16" s="3" t="s">
        <v>366</v>
      </c>
      <c r="H16" s="9" t="s">
        <v>240</v>
      </c>
      <c r="I16" s="3"/>
      <c r="J16" s="3"/>
      <c r="K16" s="3"/>
      <c r="L16" s="10">
        <f t="shared" si="0"/>
        <v>65.650000000000006</v>
      </c>
      <c r="M16" s="3" t="str">
        <f t="shared" ref="M16:M21" si="3">IF(E16="","",E16*(0.9*1000/$P$5+0.1*1000/$P$6))</f>
        <v/>
      </c>
      <c r="N16" s="10">
        <f>IF(M16="",C16*($P$7*1000/$P$5+$P$8*1000/$P$6)*$P$9,M16)</f>
        <v>30.63666666666667</v>
      </c>
    </row>
    <row r="17" spans="1:14" x14ac:dyDescent="0.35">
      <c r="A17" s="7" t="s">
        <v>10</v>
      </c>
      <c r="B17" s="8" t="s">
        <v>163</v>
      </c>
      <c r="C17" s="10">
        <f>19.98*P10</f>
        <v>24.175799999999999</v>
      </c>
      <c r="D17" s="10"/>
      <c r="E17" s="121"/>
      <c r="F17" s="10"/>
      <c r="G17" s="3" t="s">
        <v>212</v>
      </c>
      <c r="H17" s="9" t="s">
        <v>214</v>
      </c>
      <c r="I17" s="37">
        <f>31.25*P10</f>
        <v>37.8125</v>
      </c>
      <c r="J17" s="9" t="s">
        <v>214</v>
      </c>
      <c r="K17" s="3"/>
      <c r="L17" s="10">
        <f t="shared" si="0"/>
        <v>120.87899999999999</v>
      </c>
      <c r="M17" s="10" t="str">
        <f t="shared" si="3"/>
        <v/>
      </c>
      <c r="N17" s="10">
        <f t="shared" si="1"/>
        <v>56.410199999999996</v>
      </c>
    </row>
    <row r="18" spans="1:14" x14ac:dyDescent="0.35">
      <c r="A18" s="7" t="s">
        <v>11</v>
      </c>
      <c r="B18" s="8" t="s">
        <v>164</v>
      </c>
      <c r="C18" s="10">
        <f>(20.99+23.62)/2</f>
        <v>22.305</v>
      </c>
      <c r="D18" s="10"/>
      <c r="E18" s="10"/>
      <c r="F18" s="10"/>
      <c r="G18" s="3" t="s">
        <v>154</v>
      </c>
      <c r="H18" s="9" t="s">
        <v>153</v>
      </c>
      <c r="I18" s="3"/>
      <c r="J18" s="3"/>
      <c r="K18" s="3"/>
      <c r="L18" s="10">
        <f t="shared" si="0"/>
        <v>111.52500000000001</v>
      </c>
      <c r="M18" s="3" t="str">
        <f t="shared" si="3"/>
        <v/>
      </c>
      <c r="N18" s="10">
        <f t="shared" si="1"/>
        <v>52.045000000000002</v>
      </c>
    </row>
    <row r="19" spans="1:14" x14ac:dyDescent="0.35">
      <c r="A19" s="7" t="s">
        <v>12</v>
      </c>
      <c r="B19" s="8" t="s">
        <v>176</v>
      </c>
      <c r="C19" s="10">
        <v>18.59</v>
      </c>
      <c r="D19" s="10"/>
      <c r="E19" s="10"/>
      <c r="F19" s="10"/>
      <c r="G19" s="3" t="s">
        <v>215</v>
      </c>
      <c r="H19" s="9" t="s">
        <v>220</v>
      </c>
      <c r="I19" s="3"/>
      <c r="J19" s="3"/>
      <c r="K19" s="3"/>
      <c r="L19" s="10">
        <f t="shared" si="0"/>
        <v>92.95</v>
      </c>
      <c r="M19" s="3" t="str">
        <f t="shared" si="3"/>
        <v/>
      </c>
      <c r="N19" s="10">
        <f t="shared" si="1"/>
        <v>43.376666666666665</v>
      </c>
    </row>
    <row r="20" spans="1:14" s="17" customFormat="1" x14ac:dyDescent="0.35">
      <c r="A20" s="7" t="s">
        <v>342</v>
      </c>
      <c r="B20" s="14" t="s">
        <v>3</v>
      </c>
      <c r="C20" s="36">
        <v>22.24</v>
      </c>
      <c r="D20" s="36"/>
      <c r="E20" s="36"/>
      <c r="F20" s="36"/>
      <c r="G20" s="15" t="s">
        <v>154</v>
      </c>
      <c r="H20" s="16" t="s">
        <v>153</v>
      </c>
      <c r="I20" s="15"/>
      <c r="J20" s="15"/>
      <c r="K20" s="15"/>
      <c r="L20" s="10">
        <f t="shared" si="0"/>
        <v>111.2</v>
      </c>
      <c r="M20" s="3" t="str">
        <f t="shared" si="3"/>
        <v/>
      </c>
      <c r="N20" s="10">
        <f t="shared" si="1"/>
        <v>51.893333333333324</v>
      </c>
    </row>
    <row r="21" spans="1:14" s="17" customFormat="1" x14ac:dyDescent="0.35">
      <c r="A21" s="7" t="s">
        <v>343</v>
      </c>
      <c r="B21" s="14" t="s">
        <v>3</v>
      </c>
      <c r="C21" s="36">
        <f>15.07*P10</f>
        <v>18.2347</v>
      </c>
      <c r="D21" s="36"/>
      <c r="E21" s="36"/>
      <c r="F21" s="36"/>
      <c r="G21" s="15" t="s">
        <v>212</v>
      </c>
      <c r="H21" s="16" t="s">
        <v>213</v>
      </c>
      <c r="I21" s="15"/>
      <c r="J21" s="15"/>
      <c r="K21" s="15"/>
      <c r="L21" s="10">
        <f t="shared" si="0"/>
        <v>91.173500000000004</v>
      </c>
      <c r="M21" s="3" t="str">
        <f t="shared" si="3"/>
        <v/>
      </c>
      <c r="N21" s="10">
        <f t="shared" si="1"/>
        <v>42.54763333333333</v>
      </c>
    </row>
    <row r="22" spans="1:14" x14ac:dyDescent="0.35">
      <c r="A22" s="7" t="s">
        <v>14</v>
      </c>
      <c r="B22" s="8" t="s">
        <v>182</v>
      </c>
      <c r="C22" s="10">
        <f>20.47*P10</f>
        <v>24.768699999999999</v>
      </c>
      <c r="D22" s="10"/>
      <c r="E22" s="10"/>
      <c r="F22" s="10"/>
      <c r="G22" s="3" t="s">
        <v>150</v>
      </c>
      <c r="H22" s="9" t="s">
        <v>152</v>
      </c>
      <c r="I22" s="3"/>
      <c r="J22" s="9"/>
      <c r="K22" s="9"/>
      <c r="L22" s="10">
        <f t="shared" si="0"/>
        <v>123.84350000000001</v>
      </c>
      <c r="M22" s="3"/>
      <c r="N22" s="10">
        <f t="shared" si="1"/>
        <v>57.793633333333325</v>
      </c>
    </row>
    <row r="23" spans="1:14" x14ac:dyDescent="0.35">
      <c r="A23" s="7" t="s">
        <v>15</v>
      </c>
      <c r="B23" s="8" t="s">
        <v>180</v>
      </c>
      <c r="C23" s="10">
        <v>15.02</v>
      </c>
      <c r="D23" s="10"/>
      <c r="E23" s="10"/>
      <c r="F23" s="10"/>
      <c r="G23" s="3" t="s">
        <v>366</v>
      </c>
      <c r="H23" s="9" t="s">
        <v>240</v>
      </c>
      <c r="I23" s="3"/>
      <c r="J23" s="3"/>
      <c r="K23" s="3"/>
      <c r="L23" s="10">
        <f t="shared" si="0"/>
        <v>75.099999999999994</v>
      </c>
      <c r="M23" s="3" t="str">
        <f>IF(E23="","",E23*(0.9*1000/$P$5+0.1*1000/$P$6))</f>
        <v/>
      </c>
      <c r="N23" s="10">
        <f t="shared" si="1"/>
        <v>35.046666666666667</v>
      </c>
    </row>
    <row r="24" spans="1:14" x14ac:dyDescent="0.35">
      <c r="A24" s="7" t="s">
        <v>16</v>
      </c>
      <c r="B24" s="8" t="s">
        <v>196</v>
      </c>
      <c r="C24" s="10">
        <v>18.91</v>
      </c>
      <c r="D24" s="10"/>
      <c r="E24" s="10"/>
      <c r="F24" s="10"/>
      <c r="G24" s="3" t="s">
        <v>225</v>
      </c>
      <c r="H24" s="9" t="s">
        <v>226</v>
      </c>
      <c r="I24" s="3"/>
      <c r="J24" s="3"/>
      <c r="K24" s="3"/>
      <c r="L24" s="10">
        <f t="shared" si="0"/>
        <v>94.55</v>
      </c>
      <c r="M24" s="3" t="str">
        <f>IF(E24="","",E24*(0.9*1000/$P$5+0.1*1000/$P$6))</f>
        <v/>
      </c>
      <c r="N24" s="10">
        <f t="shared" si="1"/>
        <v>44.123333333333335</v>
      </c>
    </row>
    <row r="25" spans="1:14" x14ac:dyDescent="0.35">
      <c r="A25" s="7" t="s">
        <v>17</v>
      </c>
      <c r="B25" s="8" t="s">
        <v>174</v>
      </c>
      <c r="C25" s="10">
        <f>19.69*P10</f>
        <v>23.8249</v>
      </c>
      <c r="D25" s="10"/>
      <c r="E25" s="10"/>
      <c r="F25" s="10"/>
      <c r="G25" s="3" t="s">
        <v>150</v>
      </c>
      <c r="H25" s="9" t="s">
        <v>152</v>
      </c>
      <c r="I25" s="3"/>
      <c r="J25" s="9"/>
      <c r="K25" s="9"/>
      <c r="L25" s="10">
        <f t="shared" si="0"/>
        <v>119.12449999999998</v>
      </c>
      <c r="M25" s="3"/>
      <c r="N25" s="10">
        <f t="shared" si="1"/>
        <v>55.591433333333335</v>
      </c>
    </row>
    <row r="26" spans="1:14" x14ac:dyDescent="0.35">
      <c r="A26" s="7" t="s">
        <v>18</v>
      </c>
      <c r="B26" s="8" t="s">
        <v>191</v>
      </c>
      <c r="C26" s="10">
        <f>20.12*P10</f>
        <v>24.345200000000002</v>
      </c>
      <c r="D26" s="10"/>
      <c r="E26" s="10"/>
      <c r="F26" s="10"/>
      <c r="G26" s="3" t="s">
        <v>150</v>
      </c>
      <c r="H26" s="9" t="s">
        <v>152</v>
      </c>
      <c r="I26" s="3"/>
      <c r="J26" s="9"/>
      <c r="K26" s="9"/>
      <c r="L26" s="10">
        <f t="shared" si="0"/>
        <v>121.726</v>
      </c>
      <c r="M26" s="3"/>
      <c r="N26" s="10">
        <f t="shared" si="1"/>
        <v>56.805466666666675</v>
      </c>
    </row>
    <row r="27" spans="1:14" x14ac:dyDescent="0.35">
      <c r="A27" s="7" t="s">
        <v>19</v>
      </c>
      <c r="B27" s="8" t="s">
        <v>177</v>
      </c>
      <c r="C27" s="10">
        <v>18.16</v>
      </c>
      <c r="D27" s="10"/>
      <c r="E27" s="10"/>
      <c r="F27" s="10"/>
      <c r="G27" s="3" t="s">
        <v>210</v>
      </c>
      <c r="H27" s="9" t="s">
        <v>211</v>
      </c>
      <c r="I27" s="3"/>
      <c r="J27" s="3"/>
      <c r="K27" s="3"/>
      <c r="L27" s="10">
        <f t="shared" si="0"/>
        <v>90.8</v>
      </c>
      <c r="M27" s="3" t="str">
        <f>IF(E27="","",E27*(0.9*1000/$P$5+0.1*1000/$P$6))</f>
        <v/>
      </c>
      <c r="N27" s="10">
        <f t="shared" si="1"/>
        <v>42.373333333333335</v>
      </c>
    </row>
    <row r="28" spans="1:14" x14ac:dyDescent="0.35">
      <c r="A28" s="7" t="s">
        <v>20</v>
      </c>
      <c r="B28" s="8" t="s">
        <v>172</v>
      </c>
      <c r="C28" s="10">
        <v>18.53</v>
      </c>
      <c r="D28" s="10"/>
      <c r="E28" s="10"/>
      <c r="F28" s="10"/>
      <c r="G28" s="3" t="s">
        <v>210</v>
      </c>
      <c r="H28" s="9" t="s">
        <v>211</v>
      </c>
      <c r="I28" s="3"/>
      <c r="J28" s="3"/>
      <c r="K28" s="3"/>
      <c r="L28" s="10">
        <f t="shared" si="0"/>
        <v>92.65</v>
      </c>
      <c r="M28" s="3" t="str">
        <f>IF(E28="","",E28*(0.9*1000/$P$5+0.1*1000/$P$6))</f>
        <v/>
      </c>
      <c r="N28" s="10">
        <f t="shared" si="1"/>
        <v>43.236666666666672</v>
      </c>
    </row>
    <row r="29" spans="1:14" x14ac:dyDescent="0.35">
      <c r="A29" s="7" t="s">
        <v>21</v>
      </c>
      <c r="B29" s="8" t="s">
        <v>185</v>
      </c>
      <c r="C29" s="10">
        <v>18.09</v>
      </c>
      <c r="D29" s="10"/>
      <c r="E29" s="10"/>
      <c r="F29" s="10"/>
      <c r="G29" s="3" t="s">
        <v>210</v>
      </c>
      <c r="H29" s="9" t="s">
        <v>211</v>
      </c>
      <c r="I29" s="3"/>
      <c r="J29" s="3"/>
      <c r="K29" s="3"/>
      <c r="L29" s="10">
        <f t="shared" si="0"/>
        <v>90.45</v>
      </c>
      <c r="M29" s="3" t="str">
        <f>IF(E29="","",E29*(0.9*1000/$P$5+0.1*1000/$P$6))</f>
        <v/>
      </c>
      <c r="N29" s="10">
        <f t="shared" si="1"/>
        <v>42.21</v>
      </c>
    </row>
    <row r="30" spans="1:14" x14ac:dyDescent="0.35">
      <c r="A30" s="7" t="s">
        <v>22</v>
      </c>
      <c r="B30" s="8" t="s">
        <v>181</v>
      </c>
      <c r="C30" s="10">
        <f>12.56*P10</f>
        <v>15.1976</v>
      </c>
      <c r="D30" s="10"/>
      <c r="E30" s="10"/>
      <c r="F30" s="10"/>
      <c r="G30" s="3" t="s">
        <v>360</v>
      </c>
      <c r="H30" s="3"/>
      <c r="I30" s="3"/>
      <c r="J30" s="3"/>
      <c r="K30" s="3"/>
      <c r="L30" s="10">
        <f t="shared" si="0"/>
        <v>75.988</v>
      </c>
      <c r="M30" s="3" t="str">
        <f>IF(E30="","",E30*(0.9*1000/$P$5+0.1*1000/$P$6))</f>
        <v/>
      </c>
      <c r="N30" s="10">
        <f t="shared" si="1"/>
        <v>35.461066666666667</v>
      </c>
    </row>
    <row r="31" spans="1:14" x14ac:dyDescent="0.35">
      <c r="A31" s="7" t="s">
        <v>23</v>
      </c>
      <c r="B31" s="8" t="s">
        <v>175</v>
      </c>
      <c r="C31" s="10">
        <f>20.12*P10</f>
        <v>24.345200000000002</v>
      </c>
      <c r="D31" s="10"/>
      <c r="E31" s="10"/>
      <c r="F31" s="10"/>
      <c r="G31" s="3" t="s">
        <v>150</v>
      </c>
      <c r="H31" s="9" t="s">
        <v>261</v>
      </c>
      <c r="I31" s="3"/>
      <c r="J31" s="3"/>
      <c r="K31" s="3"/>
      <c r="L31" s="10">
        <f t="shared" si="0"/>
        <v>121.726</v>
      </c>
      <c r="M31" s="3" t="str">
        <f>IF(E31="","",E31*(0.9*1000/$P$5+0.1*1000/$P$6))</f>
        <v/>
      </c>
      <c r="N31" s="10">
        <f t="shared" si="1"/>
        <v>56.805466666666675</v>
      </c>
    </row>
    <row r="32" spans="1:14" x14ac:dyDescent="0.35">
      <c r="A32" s="7" t="s">
        <v>344</v>
      </c>
      <c r="B32" s="8" t="s">
        <v>175</v>
      </c>
      <c r="C32" s="37">
        <f>20.12*P10</f>
        <v>24.345200000000002</v>
      </c>
      <c r="D32" s="10"/>
      <c r="E32" s="10"/>
      <c r="F32" s="10"/>
      <c r="G32" s="3" t="s">
        <v>150</v>
      </c>
      <c r="H32" s="9" t="s">
        <v>152</v>
      </c>
      <c r="I32" s="3"/>
      <c r="J32" s="9"/>
      <c r="K32" s="9"/>
      <c r="L32" s="10">
        <f t="shared" si="0"/>
        <v>121.726</v>
      </c>
      <c r="M32" s="3"/>
      <c r="N32" s="10">
        <f t="shared" si="1"/>
        <v>56.805466666666675</v>
      </c>
    </row>
    <row r="33" spans="1:14" x14ac:dyDescent="0.35">
      <c r="A33" s="7" t="s">
        <v>345</v>
      </c>
      <c r="B33" s="8" t="s">
        <v>175</v>
      </c>
      <c r="C33" s="10">
        <v>21.71</v>
      </c>
      <c r="D33" s="10"/>
      <c r="E33" s="10"/>
      <c r="F33" s="10"/>
      <c r="G33" s="3" t="s">
        <v>225</v>
      </c>
      <c r="H33" s="9" t="s">
        <v>230</v>
      </c>
      <c r="I33" s="3"/>
      <c r="J33" s="9"/>
      <c r="K33" s="9"/>
      <c r="L33" s="10">
        <f t="shared" si="0"/>
        <v>108.55</v>
      </c>
      <c r="M33" s="3" t="str">
        <f>IF(E33="","",E33*(0.9*1000/$P$5+0.1*1000/$P$6))</f>
        <v/>
      </c>
      <c r="N33" s="10">
        <f t="shared" si="1"/>
        <v>50.656666666666666</v>
      </c>
    </row>
    <row r="34" spans="1:14" x14ac:dyDescent="0.35">
      <c r="A34" s="7" t="s">
        <v>25</v>
      </c>
      <c r="B34" s="8" t="s">
        <v>173</v>
      </c>
      <c r="C34" s="10">
        <v>24.16</v>
      </c>
      <c r="D34" s="10"/>
      <c r="E34" s="10">
        <v>12.46</v>
      </c>
      <c r="F34" s="10"/>
      <c r="G34" s="3" t="s">
        <v>245</v>
      </c>
      <c r="H34" s="9" t="s">
        <v>246</v>
      </c>
      <c r="I34" s="3"/>
      <c r="J34" s="3"/>
      <c r="K34" s="3"/>
      <c r="L34" s="10">
        <f t="shared" si="0"/>
        <v>120.8</v>
      </c>
      <c r="M34" s="10">
        <f>IF(E34="","",E34*(0.9*1000/$P$5+0.1*1000/$P$6))</f>
        <v>41.533333333333339</v>
      </c>
      <c r="N34" s="10">
        <f t="shared" si="1"/>
        <v>41.533333333333339</v>
      </c>
    </row>
    <row r="35" spans="1:14" x14ac:dyDescent="0.35">
      <c r="A35" s="7" t="s">
        <v>26</v>
      </c>
      <c r="B35" s="8" t="s">
        <v>194</v>
      </c>
      <c r="C35" s="37">
        <f>20.47*P10</f>
        <v>24.768699999999999</v>
      </c>
      <c r="D35" s="10"/>
      <c r="E35" s="10"/>
      <c r="F35" s="10"/>
      <c r="G35" s="3" t="s">
        <v>150</v>
      </c>
      <c r="H35" s="9" t="s">
        <v>261</v>
      </c>
      <c r="I35" s="3"/>
      <c r="J35" s="3"/>
      <c r="K35" s="3"/>
      <c r="L35" s="10">
        <f t="shared" si="0"/>
        <v>123.84350000000001</v>
      </c>
      <c r="M35" s="3" t="str">
        <f>IF(E35="","",E35*(0.9*1000/$P$5+0.1*1000/$P$6))</f>
        <v/>
      </c>
      <c r="N35" s="10">
        <f t="shared" si="1"/>
        <v>57.793633333333325</v>
      </c>
    </row>
    <row r="36" spans="1:14" x14ac:dyDescent="0.35">
      <c r="A36" s="7" t="s">
        <v>27</v>
      </c>
      <c r="B36" s="8" t="s">
        <v>166</v>
      </c>
      <c r="C36" s="10">
        <v>23.72</v>
      </c>
      <c r="D36" s="10"/>
      <c r="E36" s="10"/>
      <c r="F36" s="10"/>
      <c r="G36" s="3" t="s">
        <v>215</v>
      </c>
      <c r="H36" s="9" t="s">
        <v>223</v>
      </c>
      <c r="I36" s="3"/>
      <c r="J36" s="3"/>
      <c r="K36" s="3"/>
      <c r="L36" s="10">
        <f t="shared" si="0"/>
        <v>118.6</v>
      </c>
      <c r="M36" s="3" t="str">
        <f>IF(E36="","",E36*(0.9*1000/$P$5+0.1*1000/$P$6))</f>
        <v/>
      </c>
      <c r="N36" s="10">
        <f t="shared" si="1"/>
        <v>55.346666666666664</v>
      </c>
    </row>
    <row r="37" spans="1:14" x14ac:dyDescent="0.35">
      <c r="A37" s="7" t="s">
        <v>28</v>
      </c>
      <c r="B37" s="8" t="s">
        <v>194</v>
      </c>
      <c r="C37" s="10">
        <f>20.47*P10</f>
        <v>24.768699999999999</v>
      </c>
      <c r="D37" s="10"/>
      <c r="E37" s="10"/>
      <c r="F37" s="10"/>
      <c r="G37" s="3" t="s">
        <v>150</v>
      </c>
      <c r="H37" s="9" t="s">
        <v>152</v>
      </c>
      <c r="I37" s="3"/>
      <c r="J37" s="9"/>
      <c r="K37" s="9"/>
      <c r="L37" s="10">
        <f t="shared" si="0"/>
        <v>123.84350000000001</v>
      </c>
      <c r="M37" s="3"/>
      <c r="N37" s="10">
        <f t="shared" si="1"/>
        <v>57.793633333333325</v>
      </c>
    </row>
    <row r="38" spans="1:14" x14ac:dyDescent="0.35">
      <c r="A38" s="7" t="s">
        <v>29</v>
      </c>
      <c r="B38" s="8" t="s">
        <v>172</v>
      </c>
      <c r="C38" s="10">
        <v>15.81</v>
      </c>
      <c r="D38" s="10"/>
      <c r="E38" s="10"/>
      <c r="F38" s="10"/>
      <c r="G38" s="3" t="s">
        <v>139</v>
      </c>
      <c r="H38" s="9" t="s">
        <v>209</v>
      </c>
      <c r="I38" s="3"/>
      <c r="J38" s="3"/>
      <c r="K38" s="3"/>
      <c r="L38" s="10">
        <f t="shared" si="0"/>
        <v>79.05</v>
      </c>
      <c r="M38" s="3" t="str">
        <f>IF(E38="","",E38*(0.9*1000/$P$5+0.1*1000/$P$6))</f>
        <v/>
      </c>
      <c r="N38" s="10">
        <f t="shared" si="1"/>
        <v>36.89</v>
      </c>
    </row>
    <row r="39" spans="1:14" x14ac:dyDescent="0.35">
      <c r="A39" s="7" t="s">
        <v>30</v>
      </c>
      <c r="B39" s="8" t="s">
        <v>184</v>
      </c>
      <c r="C39" s="10">
        <v>25.23</v>
      </c>
      <c r="D39" s="10"/>
      <c r="E39" s="10"/>
      <c r="F39" s="10"/>
      <c r="G39" s="3" t="s">
        <v>225</v>
      </c>
      <c r="H39" s="9" t="s">
        <v>228</v>
      </c>
      <c r="I39" s="3"/>
      <c r="J39" s="3"/>
      <c r="K39" s="3"/>
      <c r="L39" s="10">
        <f t="shared" ref="L39:L64" si="4">C39*1000/$P$4</f>
        <v>126.15</v>
      </c>
      <c r="M39" s="3" t="str">
        <f>IF(E39="","",E39*(0.9*1000/$P$5+0.1*1000/$P$6))</f>
        <v/>
      </c>
      <c r="N39" s="10">
        <f t="shared" ref="N39:N64" si="5">IF(M39="",C39*($P$7*1000/$P$5+$P$8*1000/$P$6)*$P$9,M39)</f>
        <v>58.870000000000005</v>
      </c>
    </row>
    <row r="40" spans="1:14" x14ac:dyDescent="0.35">
      <c r="A40" s="7" t="s">
        <v>31</v>
      </c>
      <c r="B40" s="8" t="s">
        <v>174</v>
      </c>
      <c r="C40" s="10">
        <f>20.16*P10</f>
        <v>24.393599999999999</v>
      </c>
      <c r="D40" s="10"/>
      <c r="E40" s="10"/>
      <c r="F40" s="10"/>
      <c r="G40" s="3" t="s">
        <v>150</v>
      </c>
      <c r="H40" s="9" t="s">
        <v>152</v>
      </c>
      <c r="I40" s="3"/>
      <c r="J40" s="9"/>
      <c r="K40" s="9"/>
      <c r="L40" s="10">
        <f t="shared" si="4"/>
        <v>121.96799999999999</v>
      </c>
      <c r="M40" s="3"/>
      <c r="N40" s="10">
        <f t="shared" si="5"/>
        <v>56.918399999999991</v>
      </c>
    </row>
    <row r="41" spans="1:14" x14ac:dyDescent="0.35">
      <c r="A41" s="7" t="s">
        <v>32</v>
      </c>
      <c r="B41" s="8" t="s">
        <v>183</v>
      </c>
      <c r="C41" s="10">
        <v>15.73</v>
      </c>
      <c r="D41" s="10"/>
      <c r="E41" s="10"/>
      <c r="F41" s="10"/>
      <c r="G41" s="3" t="s">
        <v>359</v>
      </c>
      <c r="H41" s="9" t="s">
        <v>237</v>
      </c>
      <c r="I41" s="3"/>
      <c r="J41" s="3"/>
      <c r="K41" s="3"/>
      <c r="L41" s="10">
        <f t="shared" si="4"/>
        <v>78.650000000000006</v>
      </c>
      <c r="M41" s="3" t="str">
        <f t="shared" ref="M41:M62" si="6">IF(E41="","",E41*(0.9*1000/$P$5+0.1*1000/$P$6))</f>
        <v/>
      </c>
      <c r="N41" s="10">
        <f t="shared" si="5"/>
        <v>36.703333333333333</v>
      </c>
    </row>
    <row r="42" spans="1:14" x14ac:dyDescent="0.35">
      <c r="A42" s="7" t="s">
        <v>33</v>
      </c>
      <c r="B42" s="8" t="s">
        <v>179</v>
      </c>
      <c r="C42" s="10">
        <v>25.06</v>
      </c>
      <c r="D42" s="10"/>
      <c r="E42" s="10"/>
      <c r="F42" s="10"/>
      <c r="G42" s="3" t="s">
        <v>139</v>
      </c>
      <c r="H42" s="9" t="s">
        <v>209</v>
      </c>
      <c r="I42" s="3"/>
      <c r="J42" s="3"/>
      <c r="K42" s="3"/>
      <c r="L42" s="10">
        <f t="shared" si="4"/>
        <v>125.3</v>
      </c>
      <c r="M42" s="3" t="str">
        <f t="shared" si="6"/>
        <v/>
      </c>
      <c r="N42" s="10">
        <f t="shared" si="5"/>
        <v>58.473333333333329</v>
      </c>
    </row>
    <row r="43" spans="1:14" x14ac:dyDescent="0.35">
      <c r="A43" s="7" t="s">
        <v>34</v>
      </c>
      <c r="B43" s="8" t="s">
        <v>171</v>
      </c>
      <c r="C43" s="10">
        <v>16.899999999999999</v>
      </c>
      <c r="D43" s="10"/>
      <c r="E43" s="10"/>
      <c r="F43" s="10"/>
      <c r="G43" s="3" t="s">
        <v>358</v>
      </c>
      <c r="H43" s="9" t="s">
        <v>233</v>
      </c>
      <c r="I43" s="3"/>
      <c r="J43" s="3"/>
      <c r="K43" s="3"/>
      <c r="L43" s="10">
        <f t="shared" si="4"/>
        <v>84.5</v>
      </c>
      <c r="M43" s="3" t="str">
        <f t="shared" si="6"/>
        <v/>
      </c>
      <c r="N43" s="10">
        <f t="shared" si="5"/>
        <v>39.43333333333333</v>
      </c>
    </row>
    <row r="44" spans="1:14" x14ac:dyDescent="0.35">
      <c r="A44" s="7" t="s">
        <v>35</v>
      </c>
      <c r="B44" s="8" t="s">
        <v>177</v>
      </c>
      <c r="C44" s="10">
        <v>24.16</v>
      </c>
      <c r="D44" s="10"/>
      <c r="E44" s="10"/>
      <c r="F44" s="10"/>
      <c r="G44" s="3" t="s">
        <v>367</v>
      </c>
      <c r="H44" s="9" t="s">
        <v>247</v>
      </c>
      <c r="I44" s="3"/>
      <c r="J44" s="3"/>
      <c r="K44" s="3"/>
      <c r="L44" s="10">
        <f t="shared" si="4"/>
        <v>120.8</v>
      </c>
      <c r="M44" s="3" t="str">
        <f t="shared" si="6"/>
        <v/>
      </c>
      <c r="N44" s="10">
        <f t="shared" si="5"/>
        <v>56.373333333333328</v>
      </c>
    </row>
    <row r="45" spans="1:14" x14ac:dyDescent="0.35">
      <c r="A45" s="7" t="s">
        <v>36</v>
      </c>
      <c r="B45" s="8" t="s">
        <v>192</v>
      </c>
      <c r="C45" s="10">
        <v>17.21</v>
      </c>
      <c r="D45" s="10"/>
      <c r="E45" s="10">
        <v>19.059999999999999</v>
      </c>
      <c r="F45" s="10"/>
      <c r="G45" s="3" t="s">
        <v>248</v>
      </c>
      <c r="H45" s="9" t="s">
        <v>249</v>
      </c>
      <c r="I45" s="3"/>
      <c r="J45" s="3"/>
      <c r="K45" s="3"/>
      <c r="L45" s="10">
        <f t="shared" si="4"/>
        <v>86.05</v>
      </c>
      <c r="M45" s="10">
        <f t="shared" si="6"/>
        <v>63.533333333333331</v>
      </c>
      <c r="N45" s="10">
        <f t="shared" si="5"/>
        <v>63.533333333333331</v>
      </c>
    </row>
    <row r="46" spans="1:14" x14ac:dyDescent="0.35">
      <c r="A46" s="7" t="s">
        <v>37</v>
      </c>
      <c r="B46" s="8" t="s">
        <v>176</v>
      </c>
      <c r="C46" s="10">
        <f>16.79*P10</f>
        <v>20.315899999999999</v>
      </c>
      <c r="D46" s="10"/>
      <c r="E46" s="10"/>
      <c r="F46" s="10"/>
      <c r="G46" s="3" t="s">
        <v>215</v>
      </c>
      <c r="H46" s="9" t="s">
        <v>255</v>
      </c>
      <c r="I46" s="3"/>
      <c r="J46" s="3"/>
      <c r="K46" s="3"/>
      <c r="L46" s="10">
        <f t="shared" si="4"/>
        <v>101.5795</v>
      </c>
      <c r="M46" s="3" t="str">
        <f t="shared" si="6"/>
        <v/>
      </c>
      <c r="N46" s="10">
        <f t="shared" si="5"/>
        <v>47.403766666666662</v>
      </c>
    </row>
    <row r="47" spans="1:14" x14ac:dyDescent="0.35">
      <c r="A47" s="7" t="s">
        <v>38</v>
      </c>
      <c r="B47" s="8" t="s">
        <v>193</v>
      </c>
      <c r="C47" s="10">
        <v>17.21</v>
      </c>
      <c r="D47" s="10"/>
      <c r="E47" s="10">
        <v>19.059999999999999</v>
      </c>
      <c r="F47" s="10"/>
      <c r="G47" s="3" t="s">
        <v>248</v>
      </c>
      <c r="H47" s="9" t="s">
        <v>249</v>
      </c>
      <c r="I47" s="3"/>
      <c r="J47" s="3"/>
      <c r="K47" s="3"/>
      <c r="L47" s="10">
        <f t="shared" si="4"/>
        <v>86.05</v>
      </c>
      <c r="M47" s="10">
        <f t="shared" si="6"/>
        <v>63.533333333333331</v>
      </c>
      <c r="N47" s="10">
        <f t="shared" si="5"/>
        <v>63.533333333333331</v>
      </c>
    </row>
    <row r="48" spans="1:14" x14ac:dyDescent="0.35">
      <c r="A48" s="7" t="s">
        <v>39</v>
      </c>
      <c r="B48" s="8" t="s">
        <v>184</v>
      </c>
      <c r="C48" s="10">
        <v>24.96</v>
      </c>
      <c r="D48" s="10"/>
      <c r="E48" s="10"/>
      <c r="F48" s="10"/>
      <c r="G48" s="3" t="s">
        <v>225</v>
      </c>
      <c r="H48" s="9" t="s">
        <v>229</v>
      </c>
      <c r="I48" s="3"/>
      <c r="J48" s="3"/>
      <c r="K48" s="3"/>
      <c r="L48" s="10">
        <f t="shared" si="4"/>
        <v>124.8</v>
      </c>
      <c r="M48" s="3" t="str">
        <f t="shared" si="6"/>
        <v/>
      </c>
      <c r="N48" s="10">
        <f t="shared" si="5"/>
        <v>58.239999999999995</v>
      </c>
    </row>
    <row r="49" spans="1:14" x14ac:dyDescent="0.35">
      <c r="A49" s="7" t="s">
        <v>40</v>
      </c>
      <c r="B49" s="8" t="s">
        <v>188</v>
      </c>
      <c r="C49" s="10">
        <f>14.72*P10</f>
        <v>17.811199999999999</v>
      </c>
      <c r="D49" s="10"/>
      <c r="E49" s="10">
        <v>13.44</v>
      </c>
      <c r="F49" s="10"/>
      <c r="G49" s="3" t="s">
        <v>251</v>
      </c>
      <c r="H49" s="9" t="s">
        <v>252</v>
      </c>
      <c r="I49" s="3" t="s">
        <v>254</v>
      </c>
      <c r="J49" s="9" t="s">
        <v>253</v>
      </c>
      <c r="K49" s="9"/>
      <c r="L49" s="10">
        <f t="shared" si="4"/>
        <v>89.055999999999997</v>
      </c>
      <c r="M49" s="10">
        <f t="shared" si="6"/>
        <v>44.8</v>
      </c>
      <c r="N49" s="10">
        <f t="shared" si="5"/>
        <v>44.8</v>
      </c>
    </row>
    <row r="50" spans="1:14" x14ac:dyDescent="0.35">
      <c r="A50" s="7" t="s">
        <v>41</v>
      </c>
      <c r="B50" s="8" t="s">
        <v>176</v>
      </c>
      <c r="C50" s="10">
        <v>18.59</v>
      </c>
      <c r="D50" s="10"/>
      <c r="E50" s="10"/>
      <c r="F50" s="10"/>
      <c r="G50" s="3" t="s">
        <v>215</v>
      </c>
      <c r="H50" s="9" t="s">
        <v>219</v>
      </c>
      <c r="I50" s="3"/>
      <c r="J50" s="3"/>
      <c r="K50" s="3"/>
      <c r="L50" s="10">
        <f t="shared" si="4"/>
        <v>92.95</v>
      </c>
      <c r="M50" s="3" t="str">
        <f t="shared" si="6"/>
        <v/>
      </c>
      <c r="N50" s="10">
        <f t="shared" si="5"/>
        <v>43.376666666666665</v>
      </c>
    </row>
    <row r="51" spans="1:14" x14ac:dyDescent="0.35">
      <c r="A51" s="7" t="s">
        <v>42</v>
      </c>
      <c r="B51" s="8" t="s">
        <v>197</v>
      </c>
      <c r="C51" s="10">
        <v>24.16</v>
      </c>
      <c r="D51" s="10"/>
      <c r="E51" s="10"/>
      <c r="F51" s="10"/>
      <c r="G51" s="3" t="s">
        <v>225</v>
      </c>
      <c r="H51" s="9" t="s">
        <v>227</v>
      </c>
      <c r="I51" s="9" t="s">
        <v>242</v>
      </c>
      <c r="J51" s="3"/>
      <c r="K51" s="3"/>
      <c r="L51" s="10">
        <f t="shared" si="4"/>
        <v>120.8</v>
      </c>
      <c r="M51" s="3" t="str">
        <f t="shared" si="6"/>
        <v/>
      </c>
      <c r="N51" s="10">
        <f t="shared" si="5"/>
        <v>56.373333333333328</v>
      </c>
    </row>
    <row r="52" spans="1:14" x14ac:dyDescent="0.35">
      <c r="A52" s="7" t="s">
        <v>43</v>
      </c>
      <c r="B52" s="8" t="s">
        <v>173</v>
      </c>
      <c r="C52" s="10">
        <f>(20.49*6+21.19*5+22.25*1)/12</f>
        <v>20.928333333333331</v>
      </c>
      <c r="D52" s="10"/>
      <c r="E52" s="10"/>
      <c r="F52" s="10"/>
      <c r="G52" s="3" t="s">
        <v>368</v>
      </c>
      <c r="H52" s="9" t="s">
        <v>250</v>
      </c>
      <c r="I52" s="3"/>
      <c r="J52" s="3"/>
      <c r="K52" s="3"/>
      <c r="L52" s="10">
        <f t="shared" si="4"/>
        <v>104.64166666666667</v>
      </c>
      <c r="M52" s="3" t="str">
        <f t="shared" si="6"/>
        <v/>
      </c>
      <c r="N52" s="10">
        <f t="shared" si="5"/>
        <v>48.832777777777771</v>
      </c>
    </row>
    <row r="53" spans="1:14" x14ac:dyDescent="0.35">
      <c r="A53" s="7" t="s">
        <v>44</v>
      </c>
      <c r="B53" s="8" t="s">
        <v>186</v>
      </c>
      <c r="C53" s="10">
        <v>15.52</v>
      </c>
      <c r="D53" s="10"/>
      <c r="E53" s="10"/>
      <c r="F53" s="10"/>
      <c r="G53" s="3" t="s">
        <v>139</v>
      </c>
      <c r="H53" s="9" t="s">
        <v>209</v>
      </c>
      <c r="I53" s="3"/>
      <c r="J53" s="3"/>
      <c r="K53" s="3"/>
      <c r="L53" s="10">
        <f t="shared" si="4"/>
        <v>77.599999999999994</v>
      </c>
      <c r="M53" s="3" t="str">
        <f t="shared" si="6"/>
        <v/>
      </c>
      <c r="N53" s="10">
        <f t="shared" si="5"/>
        <v>36.213333333333331</v>
      </c>
    </row>
    <row r="54" spans="1:14" x14ac:dyDescent="0.35">
      <c r="A54" s="7" t="s">
        <v>45</v>
      </c>
      <c r="B54" s="8" t="s">
        <v>171</v>
      </c>
      <c r="C54" s="10">
        <v>18.54</v>
      </c>
      <c r="D54" s="10"/>
      <c r="E54" s="10"/>
      <c r="F54" s="10"/>
      <c r="G54" s="3" t="s">
        <v>358</v>
      </c>
      <c r="H54" s="9" t="s">
        <v>234</v>
      </c>
      <c r="I54" s="3"/>
      <c r="J54" s="3"/>
      <c r="K54" s="3"/>
      <c r="L54" s="10">
        <f t="shared" si="4"/>
        <v>92.7</v>
      </c>
      <c r="M54" s="3" t="str">
        <f t="shared" si="6"/>
        <v/>
      </c>
      <c r="N54" s="10">
        <f t="shared" si="5"/>
        <v>43.26</v>
      </c>
    </row>
    <row r="55" spans="1:14" x14ac:dyDescent="0.35">
      <c r="A55" s="7" t="s">
        <v>46</v>
      </c>
      <c r="B55" s="8" t="s">
        <v>190</v>
      </c>
      <c r="C55" s="10">
        <v>19.64</v>
      </c>
      <c r="D55" s="10"/>
      <c r="E55" s="10"/>
      <c r="F55" s="10"/>
      <c r="G55" s="3" t="s">
        <v>139</v>
      </c>
      <c r="H55" s="9" t="s">
        <v>209</v>
      </c>
      <c r="I55" s="3"/>
      <c r="J55" s="3"/>
      <c r="K55" s="3"/>
      <c r="L55" s="10">
        <f t="shared" si="4"/>
        <v>98.2</v>
      </c>
      <c r="M55" s="3" t="str">
        <f t="shared" si="6"/>
        <v/>
      </c>
      <c r="N55" s="10">
        <f t="shared" si="5"/>
        <v>45.826666666666668</v>
      </c>
    </row>
    <row r="56" spans="1:14" x14ac:dyDescent="0.35">
      <c r="A56" s="7" t="s">
        <v>47</v>
      </c>
      <c r="B56" s="8" t="s">
        <v>164</v>
      </c>
      <c r="C56" s="10">
        <v>20.99</v>
      </c>
      <c r="D56" s="10"/>
      <c r="E56" s="10"/>
      <c r="F56" s="10"/>
      <c r="G56" s="3" t="s">
        <v>154</v>
      </c>
      <c r="H56" s="9" t="s">
        <v>153</v>
      </c>
      <c r="I56" s="3"/>
      <c r="J56" s="3"/>
      <c r="K56" s="3"/>
      <c r="L56" s="10">
        <f t="shared" si="4"/>
        <v>104.95</v>
      </c>
      <c r="M56" s="3" t="str">
        <f t="shared" si="6"/>
        <v/>
      </c>
      <c r="N56" s="10">
        <f t="shared" si="5"/>
        <v>48.976666666666667</v>
      </c>
    </row>
    <row r="57" spans="1:14" x14ac:dyDescent="0.35">
      <c r="A57" s="7" t="s">
        <v>48</v>
      </c>
      <c r="B57" s="8" t="s">
        <v>174</v>
      </c>
      <c r="C57" s="10">
        <f>20.47*P10</f>
        <v>24.768699999999999</v>
      </c>
      <c r="D57" s="10"/>
      <c r="E57" s="10"/>
      <c r="F57" s="10"/>
      <c r="G57" s="3" t="s">
        <v>150</v>
      </c>
      <c r="H57" s="9" t="s">
        <v>261</v>
      </c>
      <c r="I57" s="3"/>
      <c r="J57" s="3"/>
      <c r="K57" s="3"/>
      <c r="L57" s="10">
        <f t="shared" si="4"/>
        <v>123.84350000000001</v>
      </c>
      <c r="M57" s="3" t="str">
        <f t="shared" si="6"/>
        <v/>
      </c>
      <c r="N57" s="10">
        <f t="shared" si="5"/>
        <v>57.793633333333325</v>
      </c>
    </row>
    <row r="58" spans="1:14" x14ac:dyDescent="0.35">
      <c r="A58" s="7" t="s">
        <v>49</v>
      </c>
      <c r="B58" s="8" t="s">
        <v>193</v>
      </c>
      <c r="C58" s="10">
        <v>17.21</v>
      </c>
      <c r="D58" s="10"/>
      <c r="E58" s="10">
        <v>19.059999999999999</v>
      </c>
      <c r="F58" s="10"/>
      <c r="G58" s="3" t="s">
        <v>248</v>
      </c>
      <c r="H58" s="9" t="s">
        <v>249</v>
      </c>
      <c r="I58" s="3"/>
      <c r="J58" s="3"/>
      <c r="K58" s="3"/>
      <c r="L58" s="10">
        <f t="shared" si="4"/>
        <v>86.05</v>
      </c>
      <c r="M58" s="10">
        <f t="shared" si="6"/>
        <v>63.533333333333331</v>
      </c>
      <c r="N58" s="10">
        <f t="shared" si="5"/>
        <v>63.533333333333331</v>
      </c>
    </row>
    <row r="59" spans="1:14" x14ac:dyDescent="0.35">
      <c r="A59" s="7" t="s">
        <v>50</v>
      </c>
      <c r="B59" s="8" t="s">
        <v>178</v>
      </c>
      <c r="C59" s="10">
        <f>(22.41*8+26.55*4)/12</f>
        <v>23.790000000000003</v>
      </c>
      <c r="D59" s="10"/>
      <c r="E59" s="10"/>
      <c r="F59" s="10"/>
      <c r="G59" s="3" t="s">
        <v>361</v>
      </c>
      <c r="H59" s="9" t="s">
        <v>239</v>
      </c>
      <c r="I59" s="3"/>
      <c r="J59" s="3"/>
      <c r="K59" s="3"/>
      <c r="L59" s="10">
        <f t="shared" si="4"/>
        <v>118.95000000000002</v>
      </c>
      <c r="M59" s="3" t="str">
        <f t="shared" si="6"/>
        <v/>
      </c>
      <c r="N59" s="10">
        <f t="shared" si="5"/>
        <v>55.510000000000005</v>
      </c>
    </row>
    <row r="60" spans="1:14" x14ac:dyDescent="0.35">
      <c r="A60" s="7" t="s">
        <v>51</v>
      </c>
      <c r="B60" s="8" t="s">
        <v>3</v>
      </c>
      <c r="C60" s="10">
        <v>22.24</v>
      </c>
      <c r="D60" s="10"/>
      <c r="E60" s="10"/>
      <c r="F60" s="10"/>
      <c r="G60" s="3" t="s">
        <v>154</v>
      </c>
      <c r="H60" s="9" t="s">
        <v>153</v>
      </c>
      <c r="I60" s="3"/>
      <c r="J60" s="3"/>
      <c r="K60" s="3"/>
      <c r="L60" s="10">
        <f t="shared" si="4"/>
        <v>111.2</v>
      </c>
      <c r="M60" s="3" t="str">
        <f t="shared" si="6"/>
        <v/>
      </c>
      <c r="N60" s="10">
        <f t="shared" si="5"/>
        <v>51.893333333333324</v>
      </c>
    </row>
    <row r="61" spans="1:14" x14ac:dyDescent="0.35">
      <c r="A61" s="7" t="s">
        <v>52</v>
      </c>
      <c r="B61" s="8" t="s">
        <v>193</v>
      </c>
      <c r="C61" s="10">
        <v>17.21</v>
      </c>
      <c r="D61" s="10"/>
      <c r="E61" s="10">
        <v>19.059999999999999</v>
      </c>
      <c r="F61" s="10"/>
      <c r="G61" s="3" t="s">
        <v>248</v>
      </c>
      <c r="H61" s="9" t="s">
        <v>249</v>
      </c>
      <c r="I61" s="3"/>
      <c r="J61" s="3"/>
      <c r="K61" s="3"/>
      <c r="L61" s="10">
        <f t="shared" si="4"/>
        <v>86.05</v>
      </c>
      <c r="M61" s="10">
        <f t="shared" si="6"/>
        <v>63.533333333333331</v>
      </c>
      <c r="N61" s="10">
        <f t="shared" si="5"/>
        <v>63.533333333333331</v>
      </c>
    </row>
    <row r="62" spans="1:14" x14ac:dyDescent="0.35">
      <c r="A62" s="7" t="s">
        <v>53</v>
      </c>
      <c r="B62" s="8" t="s">
        <v>183</v>
      </c>
      <c r="C62" s="10">
        <v>15.73</v>
      </c>
      <c r="D62" s="10"/>
      <c r="E62" s="10"/>
      <c r="F62" s="10"/>
      <c r="G62" s="3" t="s">
        <v>359</v>
      </c>
      <c r="H62" s="9" t="s">
        <v>237</v>
      </c>
      <c r="I62" s="3"/>
      <c r="J62" s="3"/>
      <c r="K62" s="3"/>
      <c r="L62" s="10">
        <f t="shared" si="4"/>
        <v>78.650000000000006</v>
      </c>
      <c r="M62" s="3" t="str">
        <f t="shared" si="6"/>
        <v/>
      </c>
      <c r="N62" s="10">
        <f t="shared" si="5"/>
        <v>36.703333333333333</v>
      </c>
    </row>
    <row r="63" spans="1:14" x14ac:dyDescent="0.35">
      <c r="A63" s="7" t="s">
        <v>54</v>
      </c>
      <c r="B63" s="8" t="s">
        <v>194</v>
      </c>
      <c r="C63" s="10">
        <f>20.47*P10</f>
        <v>24.768699999999999</v>
      </c>
      <c r="D63" s="10"/>
      <c r="E63" s="10"/>
      <c r="F63" s="10"/>
      <c r="G63" s="3" t="s">
        <v>150</v>
      </c>
      <c r="H63" s="9" t="s">
        <v>152</v>
      </c>
      <c r="I63" s="3"/>
      <c r="J63" s="9"/>
      <c r="K63" s="9"/>
      <c r="L63" s="10">
        <f t="shared" si="4"/>
        <v>123.84350000000001</v>
      </c>
      <c r="M63" s="3"/>
      <c r="N63" s="10">
        <f t="shared" si="5"/>
        <v>57.793633333333325</v>
      </c>
    </row>
    <row r="64" spans="1:14" x14ac:dyDescent="0.35">
      <c r="A64" s="7" t="s">
        <v>55</v>
      </c>
      <c r="B64" s="8" t="s">
        <v>164</v>
      </c>
      <c r="C64" s="10">
        <v>15.96</v>
      </c>
      <c r="D64" s="10"/>
      <c r="E64" s="10"/>
      <c r="F64" s="10"/>
      <c r="G64" s="3" t="s">
        <v>205</v>
      </c>
      <c r="H64" s="3"/>
      <c r="I64" s="11" t="s">
        <v>243</v>
      </c>
      <c r="J64" s="9" t="s">
        <v>244</v>
      </c>
      <c r="K64" s="9"/>
      <c r="L64" s="10">
        <f t="shared" si="4"/>
        <v>79.8</v>
      </c>
      <c r="M64" s="3" t="str">
        <f>IF(E64="","",E64*(0.9*1000/$P$5+0.1*1000/$P$6))</f>
        <v/>
      </c>
      <c r="N64" s="10">
        <f t="shared" si="5"/>
        <v>37.24</v>
      </c>
    </row>
    <row r="65" spans="1:14" x14ac:dyDescent="0.35">
      <c r="A65" s="7" t="s">
        <v>56</v>
      </c>
      <c r="B65" s="8" t="s">
        <v>179</v>
      </c>
      <c r="C65" s="10"/>
      <c r="D65" s="10">
        <f>134.8*P10</f>
        <v>163.108</v>
      </c>
      <c r="E65" s="10"/>
      <c r="F65" s="10"/>
      <c r="G65" s="3" t="s">
        <v>369</v>
      </c>
      <c r="H65" s="9" t="s">
        <v>262</v>
      </c>
      <c r="I65" s="3"/>
      <c r="J65" s="3"/>
      <c r="K65" s="3"/>
      <c r="L65" s="10">
        <f>D65</f>
        <v>163.108</v>
      </c>
      <c r="M65" s="3" t="str">
        <f>IF(E65="","",E65*(0.9*1000/$P$5+0.1*1000/$P$6))</f>
        <v/>
      </c>
      <c r="N65" s="10">
        <f>L65*0.7</f>
        <v>114.17559999999999</v>
      </c>
    </row>
    <row r="66" spans="1:14" x14ac:dyDescent="0.35">
      <c r="A66" s="7" t="s">
        <v>57</v>
      </c>
      <c r="B66" s="8" t="s">
        <v>190</v>
      </c>
      <c r="C66" s="10">
        <f>19.69*P10</f>
        <v>23.8249</v>
      </c>
      <c r="D66" s="10"/>
      <c r="E66" s="10"/>
      <c r="F66" s="10"/>
      <c r="G66" s="3" t="s">
        <v>150</v>
      </c>
      <c r="H66" s="9" t="s">
        <v>148</v>
      </c>
      <c r="I66" s="3"/>
      <c r="J66" s="9"/>
      <c r="K66" s="9"/>
      <c r="L66" s="10">
        <f t="shared" ref="L66:L97" si="7">C66*1000/$P$4</f>
        <v>119.12449999999998</v>
      </c>
      <c r="M66" s="3"/>
      <c r="N66" s="10">
        <f t="shared" ref="N66:N97" si="8">IF(M66="",C66*($P$7*1000/$P$5+$P$8*1000/$P$6)*$P$9,M66)</f>
        <v>55.591433333333335</v>
      </c>
    </row>
    <row r="67" spans="1:14" x14ac:dyDescent="0.35">
      <c r="A67" s="7" t="s">
        <v>58</v>
      </c>
      <c r="B67" s="8" t="s">
        <v>3</v>
      </c>
      <c r="C67" s="10">
        <v>22.24</v>
      </c>
      <c r="D67" s="10"/>
      <c r="E67" s="10"/>
      <c r="F67" s="10"/>
      <c r="G67" s="3" t="s">
        <v>154</v>
      </c>
      <c r="H67" s="9" t="s">
        <v>153</v>
      </c>
      <c r="I67" s="3"/>
      <c r="J67" s="3"/>
      <c r="K67" s="3"/>
      <c r="L67" s="10">
        <f t="shared" si="7"/>
        <v>111.2</v>
      </c>
      <c r="M67" s="3" t="str">
        <f t="shared" ref="M67:M72" si="9">IF(E67="","",E67*(0.9*1000/$P$5+0.1*1000/$P$6))</f>
        <v/>
      </c>
      <c r="N67" s="10">
        <f t="shared" si="8"/>
        <v>51.893333333333324</v>
      </c>
    </row>
    <row r="68" spans="1:14" x14ac:dyDescent="0.35">
      <c r="A68" s="7" t="s">
        <v>59</v>
      </c>
      <c r="B68" s="8" t="s">
        <v>180</v>
      </c>
      <c r="C68" s="10">
        <v>17.350000000000001</v>
      </c>
      <c r="D68" s="10"/>
      <c r="E68" s="10"/>
      <c r="F68" s="10"/>
      <c r="G68" s="3" t="s">
        <v>370</v>
      </c>
      <c r="H68" s="9" t="s">
        <v>235</v>
      </c>
      <c r="I68" s="3"/>
      <c r="J68" s="3"/>
      <c r="K68" s="3"/>
      <c r="L68" s="10">
        <f t="shared" si="7"/>
        <v>86.75</v>
      </c>
      <c r="M68" s="3" t="str">
        <f t="shared" si="9"/>
        <v/>
      </c>
      <c r="N68" s="10">
        <f t="shared" si="8"/>
        <v>40.483333333333334</v>
      </c>
    </row>
    <row r="69" spans="1:14" x14ac:dyDescent="0.35">
      <c r="A69" s="7" t="s">
        <v>346</v>
      </c>
      <c r="B69" s="8" t="s">
        <v>186</v>
      </c>
      <c r="C69" s="10">
        <v>21.61</v>
      </c>
      <c r="D69" s="10"/>
      <c r="E69" s="10"/>
      <c r="F69" s="10"/>
      <c r="G69" s="3" t="s">
        <v>139</v>
      </c>
      <c r="H69" s="9" t="s">
        <v>209</v>
      </c>
      <c r="I69" s="3"/>
      <c r="J69" s="3"/>
      <c r="K69" s="3"/>
      <c r="L69" s="10">
        <f t="shared" si="7"/>
        <v>108.05</v>
      </c>
      <c r="M69" s="3" t="str">
        <f t="shared" si="9"/>
        <v/>
      </c>
      <c r="N69" s="10">
        <f t="shared" si="8"/>
        <v>50.423333333333332</v>
      </c>
    </row>
    <row r="70" spans="1:14" x14ac:dyDescent="0.35">
      <c r="A70" s="7" t="s">
        <v>347</v>
      </c>
      <c r="B70" s="8" t="s">
        <v>186</v>
      </c>
      <c r="C70" s="10">
        <f>12.26*P10</f>
        <v>14.8346</v>
      </c>
      <c r="D70" s="10"/>
      <c r="E70" s="10"/>
      <c r="F70" s="10"/>
      <c r="G70" s="3" t="s">
        <v>360</v>
      </c>
      <c r="H70" s="9" t="s">
        <v>241</v>
      </c>
      <c r="I70" s="3"/>
      <c r="J70" s="3"/>
      <c r="K70" s="3"/>
      <c r="L70" s="10">
        <f t="shared" si="7"/>
        <v>74.173000000000002</v>
      </c>
      <c r="M70" s="3" t="str">
        <f t="shared" si="9"/>
        <v/>
      </c>
      <c r="N70" s="10">
        <f t="shared" si="8"/>
        <v>34.614066666666666</v>
      </c>
    </row>
    <row r="71" spans="1:14" x14ac:dyDescent="0.35">
      <c r="A71" s="7" t="s">
        <v>61</v>
      </c>
      <c r="B71" s="8" t="s">
        <v>181</v>
      </c>
      <c r="C71" s="10">
        <v>15.33</v>
      </c>
      <c r="D71" s="10"/>
      <c r="E71" s="10"/>
      <c r="F71" s="10"/>
      <c r="G71" s="3" t="s">
        <v>139</v>
      </c>
      <c r="H71" s="9" t="s">
        <v>209</v>
      </c>
      <c r="I71" s="3"/>
      <c r="J71" s="3"/>
      <c r="K71" s="3"/>
      <c r="L71" s="10">
        <f t="shared" si="7"/>
        <v>76.650000000000006</v>
      </c>
      <c r="M71" s="3" t="str">
        <f t="shared" si="9"/>
        <v/>
      </c>
      <c r="N71" s="10">
        <f t="shared" si="8"/>
        <v>35.769999999999996</v>
      </c>
    </row>
    <row r="72" spans="1:14" x14ac:dyDescent="0.35">
      <c r="A72" s="7" t="s">
        <v>62</v>
      </c>
      <c r="B72" s="8" t="s">
        <v>186</v>
      </c>
      <c r="C72" s="38">
        <v>20.78</v>
      </c>
      <c r="D72" s="10"/>
      <c r="E72" s="10"/>
      <c r="F72" s="10"/>
      <c r="G72" s="3" t="s">
        <v>360</v>
      </c>
      <c r="H72" s="3"/>
      <c r="I72" s="3"/>
      <c r="J72" s="3"/>
      <c r="K72" s="3"/>
      <c r="L72" s="10">
        <f t="shared" si="7"/>
        <v>103.9</v>
      </c>
      <c r="M72" s="3" t="str">
        <f t="shared" si="9"/>
        <v/>
      </c>
      <c r="N72" s="10">
        <f t="shared" si="8"/>
        <v>48.486666666666672</v>
      </c>
    </row>
    <row r="73" spans="1:14" x14ac:dyDescent="0.35">
      <c r="A73" s="7" t="s">
        <v>63</v>
      </c>
      <c r="B73" s="8" t="s">
        <v>182</v>
      </c>
      <c r="C73" s="10">
        <f>20.16*P10</f>
        <v>24.393599999999999</v>
      </c>
      <c r="D73" s="10"/>
      <c r="E73" s="10"/>
      <c r="F73" s="10"/>
      <c r="G73" s="3" t="s">
        <v>150</v>
      </c>
      <c r="H73" s="9" t="s">
        <v>152</v>
      </c>
      <c r="I73" s="3"/>
      <c r="J73" s="9"/>
      <c r="K73" s="9"/>
      <c r="L73" s="10">
        <f t="shared" si="7"/>
        <v>121.96799999999999</v>
      </c>
      <c r="M73" s="3"/>
      <c r="N73" s="10">
        <f t="shared" si="8"/>
        <v>56.918399999999991</v>
      </c>
    </row>
    <row r="74" spans="1:14" x14ac:dyDescent="0.35">
      <c r="A74" s="7" t="s">
        <v>64</v>
      </c>
      <c r="B74" s="8" t="s">
        <v>174</v>
      </c>
      <c r="C74" s="10">
        <f>20.47*P10</f>
        <v>24.768699999999999</v>
      </c>
      <c r="D74" s="10"/>
      <c r="E74" s="10"/>
      <c r="F74" s="10"/>
      <c r="G74" s="3" t="s">
        <v>150</v>
      </c>
      <c r="H74" s="9" t="s">
        <v>152</v>
      </c>
      <c r="I74" s="3"/>
      <c r="J74" s="9"/>
      <c r="K74" s="9"/>
      <c r="L74" s="10">
        <f t="shared" si="7"/>
        <v>123.84350000000001</v>
      </c>
      <c r="M74" s="3"/>
      <c r="N74" s="10">
        <f t="shared" si="8"/>
        <v>57.793633333333325</v>
      </c>
    </row>
    <row r="75" spans="1:14" x14ac:dyDescent="0.35">
      <c r="A75" s="7" t="s">
        <v>65</v>
      </c>
      <c r="B75" s="8" t="s">
        <v>198</v>
      </c>
      <c r="C75" s="38">
        <v>23.17</v>
      </c>
      <c r="D75" s="10"/>
      <c r="E75" s="10"/>
      <c r="F75" s="10"/>
      <c r="G75" s="3" t="s">
        <v>362</v>
      </c>
      <c r="H75" s="9" t="s">
        <v>231</v>
      </c>
      <c r="I75" s="3"/>
      <c r="J75" s="3"/>
      <c r="K75" s="3"/>
      <c r="L75" s="10">
        <f t="shared" si="7"/>
        <v>115.85</v>
      </c>
      <c r="M75" s="3" t="str">
        <f>IF(E75="","",E75*(0.9*1000/$P$5+0.1*1000/$P$6))</f>
        <v/>
      </c>
      <c r="N75" s="10">
        <f t="shared" si="8"/>
        <v>54.06333333333334</v>
      </c>
    </row>
    <row r="76" spans="1:14" x14ac:dyDescent="0.35">
      <c r="A76" s="7" t="s">
        <v>66</v>
      </c>
      <c r="B76" s="8" t="s">
        <v>184</v>
      </c>
      <c r="C76" s="10">
        <v>19.829999999999998</v>
      </c>
      <c r="D76" s="10"/>
      <c r="E76" s="10"/>
      <c r="F76" s="10"/>
      <c r="G76" s="18" t="s">
        <v>225</v>
      </c>
      <c r="H76" s="9" t="s">
        <v>260</v>
      </c>
      <c r="I76" s="3"/>
      <c r="J76" s="3"/>
      <c r="K76" s="3"/>
      <c r="L76" s="10">
        <f t="shared" si="7"/>
        <v>99.15</v>
      </c>
      <c r="M76" s="3" t="str">
        <f>IF(E76="","",E76*(0.9*1000/$P$5+0.1*1000/$P$6))</f>
        <v/>
      </c>
      <c r="N76" s="10">
        <f t="shared" si="8"/>
        <v>46.269999999999996</v>
      </c>
    </row>
    <row r="77" spans="1:14" x14ac:dyDescent="0.35">
      <c r="A77" s="7" t="s">
        <v>67</v>
      </c>
      <c r="B77" s="8" t="s">
        <v>183</v>
      </c>
      <c r="C77" s="10">
        <v>18.14</v>
      </c>
      <c r="D77" s="10"/>
      <c r="E77" s="10"/>
      <c r="F77" s="10"/>
      <c r="G77" s="3" t="s">
        <v>363</v>
      </c>
      <c r="H77" s="9" t="s">
        <v>236</v>
      </c>
      <c r="I77" s="3"/>
      <c r="J77" s="3"/>
      <c r="K77" s="3"/>
      <c r="L77" s="10">
        <f t="shared" si="7"/>
        <v>90.7</v>
      </c>
      <c r="M77" s="3" t="str">
        <f>IF(E77="","",E77*(0.9*1000/$P$5+0.1*1000/$P$6))</f>
        <v/>
      </c>
      <c r="N77" s="10">
        <f t="shared" si="8"/>
        <v>42.326666666666668</v>
      </c>
    </row>
    <row r="78" spans="1:14" x14ac:dyDescent="0.35">
      <c r="A78" s="7" t="s">
        <v>348</v>
      </c>
      <c r="B78" s="8" t="s">
        <v>184</v>
      </c>
      <c r="C78" s="10">
        <f>9.68*P10+77.87/9.09*P10</f>
        <v>22.078333553355336</v>
      </c>
      <c r="D78" s="10"/>
      <c r="E78" s="10"/>
      <c r="F78" s="10">
        <v>10.33</v>
      </c>
      <c r="G78" s="3" t="s">
        <v>371</v>
      </c>
      <c r="H78" s="9" t="s">
        <v>259</v>
      </c>
      <c r="I78" s="3"/>
      <c r="J78" s="3"/>
      <c r="K78" s="3"/>
      <c r="L78" s="10">
        <f t="shared" si="7"/>
        <v>110.39166776677668</v>
      </c>
      <c r="M78" s="10">
        <f>F78</f>
        <v>10.33</v>
      </c>
      <c r="N78" s="10">
        <f t="shared" si="8"/>
        <v>10.33</v>
      </c>
    </row>
    <row r="79" spans="1:14" x14ac:dyDescent="0.35">
      <c r="A79" s="7" t="s">
        <v>349</v>
      </c>
      <c r="B79" s="8" t="s">
        <v>184</v>
      </c>
      <c r="C79" s="10">
        <v>20.93</v>
      </c>
      <c r="D79" s="10"/>
      <c r="E79" s="10"/>
      <c r="F79" s="10"/>
      <c r="G79" s="3" t="s">
        <v>372</v>
      </c>
      <c r="H79" s="9" t="s">
        <v>258</v>
      </c>
      <c r="I79" s="3"/>
      <c r="J79" s="3"/>
      <c r="K79" s="3"/>
      <c r="L79" s="10">
        <f t="shared" si="7"/>
        <v>104.65</v>
      </c>
      <c r="M79" s="3" t="str">
        <f>IF(E79="","",E79*(0.9*1000/$P$5+0.1*1000/$P$6))</f>
        <v/>
      </c>
      <c r="N79" s="10">
        <f t="shared" si="8"/>
        <v>48.836666666666666</v>
      </c>
    </row>
    <row r="80" spans="1:14" x14ac:dyDescent="0.35">
      <c r="A80" s="7" t="s">
        <v>69</v>
      </c>
      <c r="B80" s="8" t="s">
        <v>194</v>
      </c>
      <c r="C80" s="10">
        <f>20.47*P10</f>
        <v>24.768699999999999</v>
      </c>
      <c r="D80" s="10"/>
      <c r="E80" s="10"/>
      <c r="F80" s="10"/>
      <c r="G80" s="3" t="s">
        <v>150</v>
      </c>
      <c r="H80" s="9" t="s">
        <v>152</v>
      </c>
      <c r="I80" s="3"/>
      <c r="J80" s="9"/>
      <c r="K80" s="9"/>
      <c r="L80" s="10">
        <f t="shared" si="7"/>
        <v>123.84350000000001</v>
      </c>
      <c r="M80" s="3"/>
      <c r="N80" s="10">
        <f t="shared" si="8"/>
        <v>57.793633333333325</v>
      </c>
    </row>
    <row r="81" spans="1:14" x14ac:dyDescent="0.35">
      <c r="A81" s="7" t="s">
        <v>70</v>
      </c>
      <c r="B81" s="8" t="s">
        <v>190</v>
      </c>
      <c r="C81" s="10">
        <v>20.51</v>
      </c>
      <c r="D81" s="10"/>
      <c r="E81" s="10">
        <v>19.010000000000002</v>
      </c>
      <c r="F81" s="10"/>
      <c r="G81" s="3" t="s">
        <v>151</v>
      </c>
      <c r="H81" s="9" t="s">
        <v>146</v>
      </c>
      <c r="I81" s="3"/>
      <c r="J81" s="9"/>
      <c r="K81" s="9"/>
      <c r="L81" s="10">
        <f t="shared" si="7"/>
        <v>102.55</v>
      </c>
      <c r="M81" s="10">
        <f>IF(E81="","",E81*(0.9*1000/$P$5+0.1*1000/$P$6))</f>
        <v>63.366666666666674</v>
      </c>
      <c r="N81" s="10">
        <f t="shared" si="8"/>
        <v>63.366666666666674</v>
      </c>
    </row>
    <row r="82" spans="1:14" x14ac:dyDescent="0.35">
      <c r="A82" s="7" t="s">
        <v>71</v>
      </c>
      <c r="B82" s="8" t="s">
        <v>185</v>
      </c>
      <c r="C82" s="10">
        <v>12.69</v>
      </c>
      <c r="D82" s="10"/>
      <c r="E82" s="10"/>
      <c r="F82" s="10"/>
      <c r="G82" s="3" t="s">
        <v>210</v>
      </c>
      <c r="H82" s="9" t="s">
        <v>211</v>
      </c>
      <c r="I82" s="3"/>
      <c r="J82" s="3"/>
      <c r="K82" s="3"/>
      <c r="L82" s="10">
        <f t="shared" si="7"/>
        <v>63.45</v>
      </c>
      <c r="M82" s="3" t="str">
        <f>IF(E82="","",E82*(0.9*1000/$P$5+0.1*1000/$P$6))</f>
        <v/>
      </c>
      <c r="N82" s="10">
        <f t="shared" si="8"/>
        <v>29.609999999999996</v>
      </c>
    </row>
    <row r="83" spans="1:14" x14ac:dyDescent="0.35">
      <c r="A83" s="7" t="s">
        <v>72</v>
      </c>
      <c r="B83" s="8" t="s">
        <v>192</v>
      </c>
      <c r="C83" s="10">
        <v>17.21</v>
      </c>
      <c r="D83" s="10"/>
      <c r="E83" s="10">
        <v>19.059999999999999</v>
      </c>
      <c r="F83" s="10"/>
      <c r="G83" s="3" t="s">
        <v>248</v>
      </c>
      <c r="H83" s="9" t="s">
        <v>249</v>
      </c>
      <c r="I83" s="3"/>
      <c r="J83" s="3"/>
      <c r="K83" s="3"/>
      <c r="L83" s="10">
        <f t="shared" si="7"/>
        <v>86.05</v>
      </c>
      <c r="M83" s="10">
        <f>IF(E83="","",E83*(0.9*1000/$P$5+0.1*1000/$P$6))</f>
        <v>63.533333333333331</v>
      </c>
      <c r="N83" s="10">
        <f t="shared" si="8"/>
        <v>63.533333333333331</v>
      </c>
    </row>
    <row r="84" spans="1:14" x14ac:dyDescent="0.35">
      <c r="A84" s="7" t="s">
        <v>73</v>
      </c>
      <c r="B84" s="8" t="s">
        <v>194</v>
      </c>
      <c r="C84" s="10">
        <f>20.47*P10</f>
        <v>24.768699999999999</v>
      </c>
      <c r="D84" s="10"/>
      <c r="E84" s="10"/>
      <c r="F84" s="10"/>
      <c r="G84" s="3" t="s">
        <v>150</v>
      </c>
      <c r="H84" s="9" t="s">
        <v>152</v>
      </c>
      <c r="I84" s="3"/>
      <c r="J84" s="9"/>
      <c r="K84" s="9"/>
      <c r="L84" s="10">
        <f t="shared" si="7"/>
        <v>123.84350000000001</v>
      </c>
      <c r="M84" s="3"/>
      <c r="N84" s="10">
        <f t="shared" si="8"/>
        <v>57.793633333333325</v>
      </c>
    </row>
    <row r="85" spans="1:14" x14ac:dyDescent="0.35">
      <c r="A85" s="7" t="s">
        <v>74</v>
      </c>
      <c r="B85" s="8" t="s">
        <v>164</v>
      </c>
      <c r="C85" s="10">
        <v>20.99</v>
      </c>
      <c r="D85" s="10"/>
      <c r="E85" s="10"/>
      <c r="F85" s="10"/>
      <c r="G85" s="3" t="s">
        <v>154</v>
      </c>
      <c r="H85" s="9" t="s">
        <v>153</v>
      </c>
      <c r="I85" s="3"/>
      <c r="J85" s="3"/>
      <c r="K85" s="3"/>
      <c r="L85" s="10">
        <f t="shared" si="7"/>
        <v>104.95</v>
      </c>
      <c r="M85" s="3" t="str">
        <f t="shared" ref="M85:M95" si="10">IF(E85="","",E85*(0.9*1000/$P$5+0.1*1000/$P$6))</f>
        <v/>
      </c>
      <c r="N85" s="10">
        <f t="shared" si="8"/>
        <v>48.976666666666667</v>
      </c>
    </row>
    <row r="86" spans="1:14" x14ac:dyDescent="0.35">
      <c r="A86" s="7" t="s">
        <v>75</v>
      </c>
      <c r="B86" s="8" t="s">
        <v>176</v>
      </c>
      <c r="C86" s="10">
        <v>20.420000000000002</v>
      </c>
      <c r="D86" s="10"/>
      <c r="E86" s="10"/>
      <c r="F86" s="10"/>
      <c r="G86" s="3" t="s">
        <v>139</v>
      </c>
      <c r="H86" s="9" t="s">
        <v>209</v>
      </c>
      <c r="I86" s="3"/>
      <c r="J86" s="3"/>
      <c r="K86" s="3"/>
      <c r="L86" s="10">
        <f t="shared" si="7"/>
        <v>102.1</v>
      </c>
      <c r="M86" s="3" t="str">
        <f t="shared" si="10"/>
        <v/>
      </c>
      <c r="N86" s="10">
        <f t="shared" si="8"/>
        <v>47.646666666666668</v>
      </c>
    </row>
    <row r="87" spans="1:14" x14ac:dyDescent="0.35">
      <c r="A87" s="7" t="s">
        <v>350</v>
      </c>
      <c r="B87" s="8" t="s">
        <v>186</v>
      </c>
      <c r="C87" s="38">
        <v>11.62</v>
      </c>
      <c r="D87" s="10"/>
      <c r="E87" s="10"/>
      <c r="F87" s="10"/>
      <c r="G87" s="3" t="s">
        <v>360</v>
      </c>
      <c r="H87" s="3"/>
      <c r="I87" s="3"/>
      <c r="J87" s="3"/>
      <c r="K87" s="3"/>
      <c r="L87" s="10">
        <f t="shared" si="7"/>
        <v>58.1</v>
      </c>
      <c r="M87" s="3" t="str">
        <f t="shared" si="10"/>
        <v/>
      </c>
      <c r="N87" s="10">
        <f t="shared" si="8"/>
        <v>27.113333333333333</v>
      </c>
    </row>
    <row r="88" spans="1:14" x14ac:dyDescent="0.35">
      <c r="A88" s="7" t="s">
        <v>351</v>
      </c>
      <c r="B88" s="8" t="s">
        <v>186</v>
      </c>
      <c r="C88" s="38">
        <v>11.62</v>
      </c>
      <c r="D88" s="10"/>
      <c r="E88" s="10"/>
      <c r="F88" s="10"/>
      <c r="G88" s="3" t="s">
        <v>205</v>
      </c>
      <c r="H88" s="3"/>
      <c r="I88" s="11" t="s">
        <v>243</v>
      </c>
      <c r="J88" s="9" t="s">
        <v>244</v>
      </c>
      <c r="K88" s="9"/>
      <c r="L88" s="10">
        <f t="shared" si="7"/>
        <v>58.1</v>
      </c>
      <c r="M88" s="3" t="str">
        <f t="shared" si="10"/>
        <v/>
      </c>
      <c r="N88" s="10">
        <f t="shared" si="8"/>
        <v>27.113333333333333</v>
      </c>
    </row>
    <row r="89" spans="1:14" x14ac:dyDescent="0.35">
      <c r="A89" s="7" t="s">
        <v>77</v>
      </c>
      <c r="B89" s="8" t="s">
        <v>195</v>
      </c>
      <c r="C89" s="10">
        <f>14.85*P10</f>
        <v>17.968499999999999</v>
      </c>
      <c r="D89" s="10"/>
      <c r="E89" s="10"/>
      <c r="F89" s="10"/>
      <c r="G89" s="3" t="s">
        <v>263</v>
      </c>
      <c r="H89" s="9" t="s">
        <v>264</v>
      </c>
      <c r="I89" s="3"/>
      <c r="J89" s="3"/>
      <c r="K89" s="3"/>
      <c r="L89" s="10">
        <f t="shared" si="7"/>
        <v>89.842500000000001</v>
      </c>
      <c r="M89" s="3" t="str">
        <f t="shared" si="10"/>
        <v/>
      </c>
      <c r="N89" s="10">
        <f t="shared" si="8"/>
        <v>41.926499999999997</v>
      </c>
    </row>
    <row r="90" spans="1:14" x14ac:dyDescent="0.35">
      <c r="A90" s="7" t="s">
        <v>78</v>
      </c>
      <c r="B90" s="8" t="s">
        <v>178</v>
      </c>
      <c r="C90" s="10">
        <v>20.100000000000001</v>
      </c>
      <c r="D90" s="10"/>
      <c r="E90" s="10"/>
      <c r="F90" s="10"/>
      <c r="G90" s="3" t="s">
        <v>139</v>
      </c>
      <c r="H90" s="9" t="s">
        <v>209</v>
      </c>
      <c r="I90" s="3"/>
      <c r="J90" s="3"/>
      <c r="K90" s="3"/>
      <c r="L90" s="10">
        <f t="shared" si="7"/>
        <v>100.5</v>
      </c>
      <c r="M90" s="3" t="str">
        <f t="shared" si="10"/>
        <v/>
      </c>
      <c r="N90" s="10">
        <f t="shared" si="8"/>
        <v>46.900000000000006</v>
      </c>
    </row>
    <row r="91" spans="1:14" x14ac:dyDescent="0.35">
      <c r="A91" s="7" t="s">
        <v>79</v>
      </c>
      <c r="B91" s="8" t="s">
        <v>174</v>
      </c>
      <c r="C91" s="10">
        <f>19.69*P10</f>
        <v>23.8249</v>
      </c>
      <c r="D91" s="10"/>
      <c r="E91" s="10"/>
      <c r="F91" s="10"/>
      <c r="G91" s="3" t="s">
        <v>150</v>
      </c>
      <c r="H91" s="9" t="s">
        <v>261</v>
      </c>
      <c r="I91" s="3"/>
      <c r="J91" s="3"/>
      <c r="K91" s="3"/>
      <c r="L91" s="10">
        <f t="shared" si="7"/>
        <v>119.12449999999998</v>
      </c>
      <c r="M91" s="3" t="str">
        <f t="shared" si="10"/>
        <v/>
      </c>
      <c r="N91" s="10">
        <f t="shared" si="8"/>
        <v>55.591433333333335</v>
      </c>
    </row>
    <row r="92" spans="1:14" x14ac:dyDescent="0.35">
      <c r="A92" s="7" t="s">
        <v>80</v>
      </c>
      <c r="B92" s="8" t="s">
        <v>176</v>
      </c>
      <c r="C92" s="10">
        <v>18.59</v>
      </c>
      <c r="D92" s="10"/>
      <c r="E92" s="10"/>
      <c r="F92" s="10"/>
      <c r="G92" s="3" t="s">
        <v>215</v>
      </c>
      <c r="H92" s="9" t="s">
        <v>221</v>
      </c>
      <c r="I92" s="3"/>
      <c r="J92" s="3"/>
      <c r="K92" s="3"/>
      <c r="L92" s="10">
        <f t="shared" si="7"/>
        <v>92.95</v>
      </c>
      <c r="M92" s="3" t="str">
        <f t="shared" si="10"/>
        <v/>
      </c>
      <c r="N92" s="10">
        <f t="shared" si="8"/>
        <v>43.376666666666665</v>
      </c>
    </row>
    <row r="93" spans="1:14" x14ac:dyDescent="0.35">
      <c r="A93" s="7" t="s">
        <v>81</v>
      </c>
      <c r="B93" s="8" t="s">
        <v>164</v>
      </c>
      <c r="C93" s="10">
        <v>21.11</v>
      </c>
      <c r="D93" s="10"/>
      <c r="E93" s="10"/>
      <c r="F93" s="10"/>
      <c r="G93" s="3" t="s">
        <v>207</v>
      </c>
      <c r="H93" s="9" t="s">
        <v>208</v>
      </c>
      <c r="I93" s="3"/>
      <c r="J93" s="3"/>
      <c r="K93" s="3"/>
      <c r="L93" s="10">
        <f t="shared" si="7"/>
        <v>105.55</v>
      </c>
      <c r="M93" s="3" t="str">
        <f t="shared" si="10"/>
        <v/>
      </c>
      <c r="N93" s="10">
        <f t="shared" si="8"/>
        <v>49.256666666666668</v>
      </c>
    </row>
    <row r="94" spans="1:14" x14ac:dyDescent="0.35">
      <c r="A94" s="7" t="s">
        <v>82</v>
      </c>
      <c r="B94" s="8" t="s">
        <v>163</v>
      </c>
      <c r="C94" s="10">
        <v>19.09</v>
      </c>
      <c r="D94" s="10"/>
      <c r="E94" s="10"/>
      <c r="F94" s="10"/>
      <c r="G94" s="3" t="s">
        <v>373</v>
      </c>
      <c r="H94" s="9" t="s">
        <v>265</v>
      </c>
      <c r="I94" s="3"/>
      <c r="J94" s="3"/>
      <c r="K94" s="3"/>
      <c r="L94" s="10">
        <f t="shared" si="7"/>
        <v>95.45</v>
      </c>
      <c r="M94" s="3" t="str">
        <f t="shared" si="10"/>
        <v/>
      </c>
      <c r="N94" s="10">
        <f t="shared" si="8"/>
        <v>44.543333333333329</v>
      </c>
    </row>
    <row r="95" spans="1:14" x14ac:dyDescent="0.35">
      <c r="A95" s="7" t="s">
        <v>83</v>
      </c>
      <c r="B95" s="8" t="s">
        <v>176</v>
      </c>
      <c r="C95" s="10">
        <v>17.05</v>
      </c>
      <c r="D95" s="10"/>
      <c r="E95" s="10"/>
      <c r="F95" s="10"/>
      <c r="G95" s="3" t="s">
        <v>216</v>
      </c>
      <c r="H95" s="9" t="s">
        <v>217</v>
      </c>
      <c r="I95" s="3"/>
      <c r="J95" s="3"/>
      <c r="K95" s="3"/>
      <c r="L95" s="10">
        <f t="shared" si="7"/>
        <v>85.25</v>
      </c>
      <c r="M95" s="3" t="str">
        <f t="shared" si="10"/>
        <v/>
      </c>
      <c r="N95" s="10">
        <f t="shared" si="8"/>
        <v>39.783333333333331</v>
      </c>
    </row>
    <row r="96" spans="1:14" x14ac:dyDescent="0.35">
      <c r="A96" s="7" t="s">
        <v>84</v>
      </c>
      <c r="B96" s="8" t="s">
        <v>174</v>
      </c>
      <c r="C96" s="10">
        <f>19.69*P10</f>
        <v>23.8249</v>
      </c>
      <c r="D96" s="10"/>
      <c r="E96" s="10"/>
      <c r="F96" s="10"/>
      <c r="G96" s="3" t="s">
        <v>150</v>
      </c>
      <c r="H96" s="9" t="s">
        <v>152</v>
      </c>
      <c r="I96" s="3"/>
      <c r="J96" s="9"/>
      <c r="K96" s="9"/>
      <c r="L96" s="10">
        <f t="shared" si="7"/>
        <v>119.12449999999998</v>
      </c>
      <c r="M96" s="3"/>
      <c r="N96" s="10">
        <f t="shared" si="8"/>
        <v>55.591433333333335</v>
      </c>
    </row>
    <row r="97" spans="1:14" x14ac:dyDescent="0.35">
      <c r="A97" s="7" t="s">
        <v>85</v>
      </c>
      <c r="B97" s="8" t="s">
        <v>191</v>
      </c>
      <c r="C97" s="10">
        <f>20.47*P10</f>
        <v>24.768699999999999</v>
      </c>
      <c r="D97" s="10"/>
      <c r="E97" s="10"/>
      <c r="F97" s="10"/>
      <c r="G97" s="3" t="s">
        <v>150</v>
      </c>
      <c r="H97" s="9" t="s">
        <v>152</v>
      </c>
      <c r="I97" s="3"/>
      <c r="J97" s="9"/>
      <c r="K97" s="9"/>
      <c r="L97" s="10">
        <f t="shared" si="7"/>
        <v>123.84350000000001</v>
      </c>
      <c r="M97" s="3"/>
      <c r="N97" s="10">
        <f t="shared" si="8"/>
        <v>57.793633333333325</v>
      </c>
    </row>
    <row r="98" spans="1:14" x14ac:dyDescent="0.35">
      <c r="A98" s="7" t="s">
        <v>86</v>
      </c>
      <c r="B98" s="8" t="s">
        <v>187</v>
      </c>
      <c r="C98" s="10">
        <v>15.73</v>
      </c>
      <c r="D98" s="10"/>
      <c r="E98" s="10"/>
      <c r="F98" s="10"/>
      <c r="G98" s="3" t="s">
        <v>359</v>
      </c>
      <c r="H98" s="9" t="s">
        <v>237</v>
      </c>
      <c r="I98" s="3"/>
      <c r="J98" s="3"/>
      <c r="K98" s="3"/>
      <c r="L98" s="10">
        <f t="shared" ref="L98:L129" si="11">C98*1000/$P$4</f>
        <v>78.650000000000006</v>
      </c>
      <c r="M98" s="3" t="str">
        <f>IF(E98="","",E98*(0.9*1000/$P$5+0.1*1000/$P$6))</f>
        <v/>
      </c>
      <c r="N98" s="10">
        <f t="shared" ref="N98:N129" si="12">IF(M98="",C98*($P$7*1000/$P$5+$P$8*1000/$P$6)*$P$9,M98)</f>
        <v>36.703333333333333</v>
      </c>
    </row>
    <row r="99" spans="1:14" x14ac:dyDescent="0.35">
      <c r="A99" s="7" t="s">
        <v>87</v>
      </c>
      <c r="B99" s="8" t="s">
        <v>163</v>
      </c>
      <c r="C99" s="10">
        <f>21.75*P10</f>
        <v>26.317499999999999</v>
      </c>
      <c r="D99" s="10"/>
      <c r="E99" s="10"/>
      <c r="F99" s="10"/>
      <c r="G99" s="3" t="s">
        <v>212</v>
      </c>
      <c r="H99" s="9" t="s">
        <v>213</v>
      </c>
      <c r="I99" s="3"/>
      <c r="J99" s="3"/>
      <c r="K99" s="3"/>
      <c r="L99" s="10">
        <f t="shared" si="11"/>
        <v>131.58750000000001</v>
      </c>
      <c r="M99" s="3" t="str">
        <f>IF(E99="","",E99*(0.9*1000/$P$5+0.1*1000/$P$6))</f>
        <v/>
      </c>
      <c r="N99" s="10">
        <f t="shared" si="12"/>
        <v>61.407499999999992</v>
      </c>
    </row>
    <row r="100" spans="1:14" x14ac:dyDescent="0.35">
      <c r="A100" s="7" t="s">
        <v>88</v>
      </c>
      <c r="B100" s="8" t="s">
        <v>192</v>
      </c>
      <c r="C100" s="10">
        <v>17.21</v>
      </c>
      <c r="D100" s="10"/>
      <c r="E100" s="10">
        <v>19.059999999999999</v>
      </c>
      <c r="F100" s="10"/>
      <c r="G100" s="3" t="s">
        <v>248</v>
      </c>
      <c r="H100" s="9" t="s">
        <v>249</v>
      </c>
      <c r="I100" s="3"/>
      <c r="J100" s="3"/>
      <c r="K100" s="3"/>
      <c r="L100" s="10">
        <f t="shared" si="11"/>
        <v>86.05</v>
      </c>
      <c r="M100" s="10">
        <f>IF(E100="","",E100*(0.9*1000/$P$5+0.1*1000/$P$6))</f>
        <v>63.533333333333331</v>
      </c>
      <c r="N100" s="10">
        <f t="shared" si="12"/>
        <v>63.533333333333331</v>
      </c>
    </row>
    <row r="101" spans="1:14" x14ac:dyDescent="0.35">
      <c r="A101" s="7" t="s">
        <v>89</v>
      </c>
      <c r="B101" s="8" t="s">
        <v>188</v>
      </c>
      <c r="C101" s="10">
        <f>17.57*P10</f>
        <v>21.259699999999999</v>
      </c>
      <c r="D101" s="10"/>
      <c r="E101" s="10"/>
      <c r="F101" s="10">
        <f>40*P10</f>
        <v>48.4</v>
      </c>
      <c r="G101" s="3" t="s">
        <v>364</v>
      </c>
      <c r="H101" s="9" t="s">
        <v>266</v>
      </c>
      <c r="I101" s="3"/>
      <c r="J101" s="3"/>
      <c r="K101" s="3"/>
      <c r="L101" s="10">
        <f t="shared" si="11"/>
        <v>106.29849999999999</v>
      </c>
      <c r="M101" s="10">
        <f>F101</f>
        <v>48.4</v>
      </c>
      <c r="N101" s="10">
        <f t="shared" si="12"/>
        <v>48.4</v>
      </c>
    </row>
    <row r="102" spans="1:14" x14ac:dyDescent="0.35">
      <c r="A102" s="7" t="s">
        <v>90</v>
      </c>
      <c r="B102" s="8" t="s">
        <v>176</v>
      </c>
      <c r="C102" s="10">
        <v>17.05</v>
      </c>
      <c r="D102" s="10"/>
      <c r="E102" s="10"/>
      <c r="F102" s="10"/>
      <c r="G102" s="3" t="s">
        <v>216</v>
      </c>
      <c r="H102" s="9" t="s">
        <v>217</v>
      </c>
      <c r="I102" s="3"/>
      <c r="J102" s="3"/>
      <c r="K102" s="3"/>
      <c r="L102" s="10">
        <f t="shared" si="11"/>
        <v>85.25</v>
      </c>
      <c r="M102" s="3" t="str">
        <f>IF(E102="","",E102*(0.9*1000/$P$5+0.1*1000/$P$6))</f>
        <v/>
      </c>
      <c r="N102" s="10">
        <f t="shared" si="12"/>
        <v>39.783333333333331</v>
      </c>
    </row>
    <row r="103" spans="1:14" x14ac:dyDescent="0.35">
      <c r="A103" s="7" t="s">
        <v>91</v>
      </c>
      <c r="B103" s="8" t="s">
        <v>175</v>
      </c>
      <c r="C103" s="10">
        <f>20.12*P10</f>
        <v>24.345200000000002</v>
      </c>
      <c r="D103" s="10"/>
      <c r="E103" s="10"/>
      <c r="F103" s="10"/>
      <c r="G103" s="3" t="s">
        <v>150</v>
      </c>
      <c r="H103" s="9" t="s">
        <v>261</v>
      </c>
      <c r="I103" s="3"/>
      <c r="J103" s="3"/>
      <c r="K103" s="3"/>
      <c r="L103" s="10">
        <f t="shared" si="11"/>
        <v>121.726</v>
      </c>
      <c r="M103" s="3" t="str">
        <f>IF(E103="","",E103*(0.9*1000/$P$5+0.1*1000/$P$6))</f>
        <v/>
      </c>
      <c r="N103" s="10">
        <f t="shared" si="12"/>
        <v>56.805466666666675</v>
      </c>
    </row>
    <row r="104" spans="1:14" x14ac:dyDescent="0.35">
      <c r="A104" s="7" t="s">
        <v>92</v>
      </c>
      <c r="B104" s="8" t="s">
        <v>173</v>
      </c>
      <c r="C104" s="10">
        <v>22.76</v>
      </c>
      <c r="D104" s="10"/>
      <c r="E104" s="10">
        <v>12.46</v>
      </c>
      <c r="F104" s="10"/>
      <c r="G104" s="3" t="s">
        <v>245</v>
      </c>
      <c r="H104" s="9" t="s">
        <v>246</v>
      </c>
      <c r="I104" s="3"/>
      <c r="J104" s="3"/>
      <c r="K104" s="3"/>
      <c r="L104" s="10">
        <f t="shared" si="11"/>
        <v>113.8</v>
      </c>
      <c r="M104" s="10">
        <f>IF(E104="","",E104*(0.9*1000/$P$5+0.1*1000/$P$6))</f>
        <v>41.533333333333339</v>
      </c>
      <c r="N104" s="10">
        <f t="shared" si="12"/>
        <v>41.533333333333339</v>
      </c>
    </row>
    <row r="105" spans="1:14" x14ac:dyDescent="0.35">
      <c r="A105" s="7" t="s">
        <v>93</v>
      </c>
      <c r="B105" s="8" t="s">
        <v>194</v>
      </c>
      <c r="C105" s="10">
        <f>20.47*P10</f>
        <v>24.768699999999999</v>
      </c>
      <c r="D105" s="10"/>
      <c r="E105" s="10"/>
      <c r="F105" s="10"/>
      <c r="G105" s="3" t="s">
        <v>150</v>
      </c>
      <c r="H105" s="9" t="s">
        <v>152</v>
      </c>
      <c r="I105" s="3"/>
      <c r="J105" s="9"/>
      <c r="K105" s="9"/>
      <c r="L105" s="10">
        <f t="shared" si="11"/>
        <v>123.84350000000001</v>
      </c>
      <c r="M105" s="3"/>
      <c r="N105" s="10">
        <f t="shared" si="12"/>
        <v>57.793633333333325</v>
      </c>
    </row>
    <row r="106" spans="1:14" x14ac:dyDescent="0.35">
      <c r="A106" s="7" t="s">
        <v>94</v>
      </c>
      <c r="B106" s="8" t="s">
        <v>182</v>
      </c>
      <c r="C106" s="10">
        <f>20.47*P10</f>
        <v>24.768699999999999</v>
      </c>
      <c r="D106" s="10"/>
      <c r="E106" s="10"/>
      <c r="F106" s="10"/>
      <c r="G106" s="3" t="s">
        <v>150</v>
      </c>
      <c r="H106" s="9" t="s">
        <v>152</v>
      </c>
      <c r="I106" s="3"/>
      <c r="J106" s="9"/>
      <c r="K106" s="9"/>
      <c r="L106" s="10">
        <f t="shared" si="11"/>
        <v>123.84350000000001</v>
      </c>
      <c r="M106" s="3"/>
      <c r="N106" s="10">
        <f t="shared" si="12"/>
        <v>57.793633333333325</v>
      </c>
    </row>
    <row r="107" spans="1:14" x14ac:dyDescent="0.35">
      <c r="A107" s="7" t="s">
        <v>95</v>
      </c>
      <c r="B107" s="8" t="s">
        <v>3</v>
      </c>
      <c r="C107" s="37">
        <v>21.54</v>
      </c>
      <c r="D107" s="10"/>
      <c r="E107" s="10"/>
      <c r="F107" s="10"/>
      <c r="G107" s="3" t="s">
        <v>374</v>
      </c>
      <c r="H107" s="9" t="s">
        <v>267</v>
      </c>
      <c r="I107" s="3"/>
      <c r="J107" s="3"/>
      <c r="K107" s="3"/>
      <c r="L107" s="10">
        <f t="shared" si="11"/>
        <v>107.7</v>
      </c>
      <c r="M107" s="3" t="str">
        <f>IF(E107="","",E107*(0.9*1000/$P$5+0.1*1000/$P$6))</f>
        <v/>
      </c>
      <c r="N107" s="10">
        <f t="shared" si="12"/>
        <v>50.26</v>
      </c>
    </row>
    <row r="108" spans="1:14" x14ac:dyDescent="0.35">
      <c r="A108" s="7" t="s">
        <v>96</v>
      </c>
      <c r="B108" s="8" t="s">
        <v>168</v>
      </c>
      <c r="C108" s="10">
        <v>14.9</v>
      </c>
      <c r="D108" s="10"/>
      <c r="E108" s="10"/>
      <c r="F108" s="10"/>
      <c r="G108" s="3" t="s">
        <v>210</v>
      </c>
      <c r="H108" s="9" t="s">
        <v>211</v>
      </c>
      <c r="I108" s="3"/>
      <c r="J108" s="3"/>
      <c r="K108" s="3"/>
      <c r="L108" s="10">
        <f t="shared" si="11"/>
        <v>74.5</v>
      </c>
      <c r="M108" s="3" t="str">
        <f>IF(E108="","",E108*(0.9*1000/$P$5+0.1*1000/$P$6))</f>
        <v/>
      </c>
      <c r="N108" s="10">
        <f t="shared" si="12"/>
        <v>34.766666666666666</v>
      </c>
    </row>
    <row r="109" spans="1:14" x14ac:dyDescent="0.35">
      <c r="A109" s="7" t="s">
        <v>97</v>
      </c>
      <c r="B109" s="8" t="s">
        <v>166</v>
      </c>
      <c r="C109" s="10">
        <v>20.69</v>
      </c>
      <c r="D109" s="10"/>
      <c r="E109" s="10"/>
      <c r="F109" s="10"/>
      <c r="G109" s="3" t="s">
        <v>215</v>
      </c>
      <c r="H109" s="9" t="s">
        <v>224</v>
      </c>
      <c r="I109" s="3"/>
      <c r="J109" s="3"/>
      <c r="K109" s="3"/>
      <c r="L109" s="10">
        <f t="shared" si="11"/>
        <v>103.45</v>
      </c>
      <c r="M109" s="3" t="str">
        <f>IF(E109="","",E109*(0.9*1000/$P$5+0.1*1000/$P$6))</f>
        <v/>
      </c>
      <c r="N109" s="10">
        <f t="shared" si="12"/>
        <v>48.276666666666664</v>
      </c>
    </row>
    <row r="110" spans="1:14" x14ac:dyDescent="0.35">
      <c r="A110" s="7" t="s">
        <v>98</v>
      </c>
      <c r="B110" s="8" t="s">
        <v>189</v>
      </c>
      <c r="C110" s="10">
        <f>16.79*P10</f>
        <v>20.315899999999999</v>
      </c>
      <c r="D110" s="10"/>
      <c r="E110" s="10"/>
      <c r="F110" s="10"/>
      <c r="G110" s="3" t="s">
        <v>150</v>
      </c>
      <c r="H110" s="9" t="s">
        <v>152</v>
      </c>
      <c r="I110" s="3"/>
      <c r="J110" s="9"/>
      <c r="K110" s="9"/>
      <c r="L110" s="10">
        <f t="shared" si="11"/>
        <v>101.5795</v>
      </c>
      <c r="M110" s="3"/>
      <c r="N110" s="10">
        <f t="shared" si="12"/>
        <v>47.403766666666662</v>
      </c>
    </row>
    <row r="111" spans="1:14" x14ac:dyDescent="0.35">
      <c r="A111" s="7" t="s">
        <v>99</v>
      </c>
      <c r="B111" s="8" t="s">
        <v>189</v>
      </c>
      <c r="C111" s="10">
        <v>18.920000000000002</v>
      </c>
      <c r="D111" s="10"/>
      <c r="E111" s="10"/>
      <c r="F111" s="10"/>
      <c r="G111" s="3" t="s">
        <v>139</v>
      </c>
      <c r="H111" s="9" t="s">
        <v>209</v>
      </c>
      <c r="I111" s="3"/>
      <c r="J111" s="3"/>
      <c r="K111" s="3"/>
      <c r="L111" s="10">
        <f t="shared" si="11"/>
        <v>94.6</v>
      </c>
      <c r="M111" s="3" t="str">
        <f>IF(E111="","",E111*(0.9*1000/$P$5+0.1*1000/$P$6))</f>
        <v/>
      </c>
      <c r="N111" s="10">
        <f t="shared" si="12"/>
        <v>44.146666666666668</v>
      </c>
    </row>
    <row r="112" spans="1:14" x14ac:dyDescent="0.35">
      <c r="A112" s="7" t="s">
        <v>100</v>
      </c>
      <c r="B112" s="8" t="s">
        <v>190</v>
      </c>
      <c r="C112" s="10">
        <v>20.72</v>
      </c>
      <c r="D112" s="10">
        <v>159.34</v>
      </c>
      <c r="E112" s="10">
        <v>17.34</v>
      </c>
      <c r="F112" s="10">
        <v>57.8</v>
      </c>
      <c r="G112" s="3" t="s">
        <v>151</v>
      </c>
      <c r="H112" s="9" t="s">
        <v>147</v>
      </c>
      <c r="I112" s="3"/>
      <c r="J112" s="9"/>
      <c r="K112" s="9"/>
      <c r="L112" s="10">
        <f t="shared" si="11"/>
        <v>103.6</v>
      </c>
      <c r="M112" s="10">
        <f>F112</f>
        <v>57.8</v>
      </c>
      <c r="N112" s="10">
        <f t="shared" si="12"/>
        <v>57.8</v>
      </c>
    </row>
    <row r="113" spans="1:14" x14ac:dyDescent="0.35">
      <c r="A113" s="7" t="s">
        <v>101</v>
      </c>
      <c r="B113" s="8" t="s">
        <v>164</v>
      </c>
      <c r="C113" s="10">
        <f>13.72*P10</f>
        <v>16.601199999999999</v>
      </c>
      <c r="D113" s="10"/>
      <c r="E113" s="10"/>
      <c r="F113" s="10"/>
      <c r="G113" s="3" t="s">
        <v>205</v>
      </c>
      <c r="H113" s="9" t="s">
        <v>206</v>
      </c>
      <c r="I113" s="3"/>
      <c r="J113" s="3"/>
      <c r="K113" s="3"/>
      <c r="L113" s="10">
        <f t="shared" si="11"/>
        <v>83.005999999999986</v>
      </c>
      <c r="M113" s="3" t="str">
        <f>IF(E113="","",E113*(0.9*1000/$P$5+0.1*1000/$P$6))</f>
        <v/>
      </c>
      <c r="N113" s="10">
        <f t="shared" si="12"/>
        <v>38.736133333333328</v>
      </c>
    </row>
    <row r="114" spans="1:14" x14ac:dyDescent="0.35">
      <c r="A114" s="7" t="s">
        <v>102</v>
      </c>
      <c r="B114" s="8" t="s">
        <v>180</v>
      </c>
      <c r="C114" s="10">
        <v>21.47</v>
      </c>
      <c r="D114" s="10"/>
      <c r="E114" s="10"/>
      <c r="F114" s="10"/>
      <c r="G114" s="3" t="s">
        <v>215</v>
      </c>
      <c r="H114" s="9" t="s">
        <v>222</v>
      </c>
      <c r="I114" s="3"/>
      <c r="J114" s="3"/>
      <c r="K114" s="3"/>
      <c r="L114" s="10">
        <f t="shared" si="11"/>
        <v>107.35</v>
      </c>
      <c r="M114" s="3" t="str">
        <f>IF(E114="","",E114*(0.9*1000/$P$5+0.1*1000/$P$6))</f>
        <v/>
      </c>
      <c r="N114" s="10">
        <f t="shared" si="12"/>
        <v>50.096666666666664</v>
      </c>
    </row>
    <row r="115" spans="1:14" x14ac:dyDescent="0.35">
      <c r="A115" s="7" t="s">
        <v>103</v>
      </c>
      <c r="B115" s="8" t="s">
        <v>191</v>
      </c>
      <c r="C115" s="10">
        <f>20.47*P10</f>
        <v>24.768699999999999</v>
      </c>
      <c r="D115" s="10"/>
      <c r="E115" s="10"/>
      <c r="F115" s="10"/>
      <c r="G115" s="3" t="s">
        <v>150</v>
      </c>
      <c r="H115" s="9" t="s">
        <v>152</v>
      </c>
      <c r="I115" s="3"/>
      <c r="J115" s="9"/>
      <c r="K115" s="9"/>
      <c r="L115" s="10">
        <f t="shared" si="11"/>
        <v>123.84350000000001</v>
      </c>
      <c r="M115" s="3"/>
      <c r="N115" s="10">
        <f t="shared" si="12"/>
        <v>57.793633333333325</v>
      </c>
    </row>
    <row r="116" spans="1:14" x14ac:dyDescent="0.35">
      <c r="A116" s="7" t="s">
        <v>104</v>
      </c>
      <c r="B116" s="8" t="s">
        <v>188</v>
      </c>
      <c r="C116" s="10">
        <v>18.690000000000001</v>
      </c>
      <c r="D116" s="10"/>
      <c r="E116" s="10"/>
      <c r="F116" s="10"/>
      <c r="G116" s="3" t="s">
        <v>139</v>
      </c>
      <c r="H116" s="9" t="s">
        <v>209</v>
      </c>
      <c r="I116" s="3"/>
      <c r="J116" s="3"/>
      <c r="K116" s="3"/>
      <c r="L116" s="10">
        <f t="shared" si="11"/>
        <v>93.45</v>
      </c>
      <c r="M116" s="3" t="str">
        <f t="shared" ref="M116:M121" si="13">IF(E116="","",E116*(0.9*1000/$P$5+0.1*1000/$P$6))</f>
        <v/>
      </c>
      <c r="N116" s="10">
        <f t="shared" si="12"/>
        <v>43.61</v>
      </c>
    </row>
    <row r="117" spans="1:14" x14ac:dyDescent="0.35">
      <c r="A117" s="7" t="s">
        <v>105</v>
      </c>
      <c r="B117" s="8" t="s">
        <v>194</v>
      </c>
      <c r="C117" s="10">
        <f>20.47*P10</f>
        <v>24.768699999999999</v>
      </c>
      <c r="D117" s="10"/>
      <c r="E117" s="10"/>
      <c r="F117" s="10"/>
      <c r="G117" s="3" t="s">
        <v>150</v>
      </c>
      <c r="H117" s="9" t="s">
        <v>261</v>
      </c>
      <c r="I117" s="3"/>
      <c r="J117" s="3"/>
      <c r="K117" s="3"/>
      <c r="L117" s="10">
        <f t="shared" si="11"/>
        <v>123.84350000000001</v>
      </c>
      <c r="M117" s="3" t="str">
        <f t="shared" si="13"/>
        <v/>
      </c>
      <c r="N117" s="10">
        <f t="shared" si="12"/>
        <v>57.793633333333325</v>
      </c>
    </row>
    <row r="118" spans="1:14" x14ac:dyDescent="0.35">
      <c r="A118" s="7" t="s">
        <v>106</v>
      </c>
      <c r="B118" s="8" t="s">
        <v>192</v>
      </c>
      <c r="C118" s="10">
        <v>17.21</v>
      </c>
      <c r="D118" s="10"/>
      <c r="E118" s="10">
        <v>19.059999999999999</v>
      </c>
      <c r="F118" s="10"/>
      <c r="G118" s="3" t="s">
        <v>248</v>
      </c>
      <c r="H118" s="9" t="s">
        <v>249</v>
      </c>
      <c r="I118" s="3"/>
      <c r="J118" s="3"/>
      <c r="K118" s="3"/>
      <c r="L118" s="10">
        <f t="shared" si="11"/>
        <v>86.05</v>
      </c>
      <c r="M118" s="10">
        <f t="shared" si="13"/>
        <v>63.533333333333331</v>
      </c>
      <c r="N118" s="10">
        <f t="shared" si="12"/>
        <v>63.533333333333331</v>
      </c>
    </row>
    <row r="119" spans="1:14" x14ac:dyDescent="0.35">
      <c r="A119" s="7" t="s">
        <v>107</v>
      </c>
      <c r="B119" s="8" t="s">
        <v>177</v>
      </c>
      <c r="C119" s="10">
        <v>19.88</v>
      </c>
      <c r="D119" s="10"/>
      <c r="E119" s="10"/>
      <c r="F119" s="10"/>
      <c r="G119" s="3" t="s">
        <v>210</v>
      </c>
      <c r="H119" s="9" t="s">
        <v>211</v>
      </c>
      <c r="I119" s="3"/>
      <c r="J119" s="3"/>
      <c r="K119" s="3"/>
      <c r="L119" s="10">
        <f t="shared" si="11"/>
        <v>99.4</v>
      </c>
      <c r="M119" s="3" t="str">
        <f t="shared" si="13"/>
        <v/>
      </c>
      <c r="N119" s="10">
        <f t="shared" si="12"/>
        <v>46.386666666666663</v>
      </c>
    </row>
    <row r="120" spans="1:14" x14ac:dyDescent="0.35">
      <c r="A120" s="7" t="s">
        <v>108</v>
      </c>
      <c r="B120" s="8" t="s">
        <v>193</v>
      </c>
      <c r="C120" s="10">
        <v>17.21</v>
      </c>
      <c r="D120" s="10"/>
      <c r="E120" s="10">
        <v>19.059999999999999</v>
      </c>
      <c r="F120" s="10"/>
      <c r="G120" s="3" t="s">
        <v>248</v>
      </c>
      <c r="H120" s="9" t="s">
        <v>249</v>
      </c>
      <c r="I120" s="3"/>
      <c r="J120" s="3"/>
      <c r="K120" s="3"/>
      <c r="L120" s="10">
        <f t="shared" si="11"/>
        <v>86.05</v>
      </c>
      <c r="M120" s="10">
        <f t="shared" si="13"/>
        <v>63.533333333333331</v>
      </c>
      <c r="N120" s="10">
        <f t="shared" si="12"/>
        <v>63.533333333333331</v>
      </c>
    </row>
    <row r="121" spans="1:14" x14ac:dyDescent="0.35">
      <c r="A121" s="7" t="s">
        <v>109</v>
      </c>
      <c r="B121" s="8" t="s">
        <v>176</v>
      </c>
      <c r="C121" s="10">
        <v>17.05</v>
      </c>
      <c r="D121" s="10"/>
      <c r="E121" s="10"/>
      <c r="F121" s="10"/>
      <c r="G121" s="3" t="s">
        <v>216</v>
      </c>
      <c r="H121" s="9" t="s">
        <v>217</v>
      </c>
      <c r="I121" s="3"/>
      <c r="J121" s="3"/>
      <c r="K121" s="3"/>
      <c r="L121" s="10">
        <f t="shared" si="11"/>
        <v>85.25</v>
      </c>
      <c r="M121" s="3" t="str">
        <f t="shared" si="13"/>
        <v/>
      </c>
      <c r="N121" s="10">
        <f t="shared" si="12"/>
        <v>39.783333333333331</v>
      </c>
    </row>
    <row r="122" spans="1:14" x14ac:dyDescent="0.35">
      <c r="A122" s="7" t="s">
        <v>110</v>
      </c>
      <c r="B122" s="8" t="s">
        <v>199</v>
      </c>
      <c r="C122" s="10">
        <f>20.47*P10</f>
        <v>24.768699999999999</v>
      </c>
      <c r="D122" s="10"/>
      <c r="E122" s="10"/>
      <c r="F122" s="10"/>
      <c r="G122" s="3" t="s">
        <v>150</v>
      </c>
      <c r="H122" s="9" t="s">
        <v>152</v>
      </c>
      <c r="I122" s="3"/>
      <c r="J122" s="9"/>
      <c r="K122" s="9"/>
      <c r="L122" s="10">
        <f t="shared" si="11"/>
        <v>123.84350000000001</v>
      </c>
      <c r="M122" s="3"/>
      <c r="N122" s="10">
        <f t="shared" si="12"/>
        <v>57.793633333333325</v>
      </c>
    </row>
    <row r="123" spans="1:14" x14ac:dyDescent="0.35">
      <c r="A123" s="7" t="s">
        <v>111</v>
      </c>
      <c r="B123" s="8" t="s">
        <v>200</v>
      </c>
      <c r="C123" s="38">
        <v>19.809999999999999</v>
      </c>
      <c r="D123" s="10"/>
      <c r="E123" s="10"/>
      <c r="F123" s="10"/>
      <c r="G123" s="11" t="s">
        <v>268</v>
      </c>
      <c r="H123" s="3"/>
      <c r="I123" s="3"/>
      <c r="J123" s="3"/>
      <c r="K123" s="3"/>
      <c r="L123" s="10">
        <f t="shared" si="11"/>
        <v>99.05</v>
      </c>
      <c r="M123" s="3" t="str">
        <f>IF(E123="","",E123*(0.9*1000/$P$5+0.1*1000/$P$6))</f>
        <v/>
      </c>
      <c r="N123" s="10">
        <f t="shared" si="12"/>
        <v>46.223333333333329</v>
      </c>
    </row>
    <row r="124" spans="1:14" x14ac:dyDescent="0.35">
      <c r="A124" s="7" t="s">
        <v>112</v>
      </c>
      <c r="B124" s="8" t="s">
        <v>163</v>
      </c>
      <c r="C124" s="10">
        <v>28.74</v>
      </c>
      <c r="D124" s="10"/>
      <c r="E124" s="10"/>
      <c r="F124" s="10"/>
      <c r="G124" s="3" t="s">
        <v>139</v>
      </c>
      <c r="H124" s="9" t="s">
        <v>209</v>
      </c>
      <c r="I124" s="3"/>
      <c r="J124" s="3"/>
      <c r="K124" s="3"/>
      <c r="L124" s="10">
        <f t="shared" si="11"/>
        <v>143.69999999999999</v>
      </c>
      <c r="M124" s="3" t="str">
        <f>IF(E124="","",E124*(0.9*1000/$P$5+0.1*1000/$P$6))</f>
        <v/>
      </c>
      <c r="N124" s="10">
        <f t="shared" si="12"/>
        <v>67.059999999999988</v>
      </c>
    </row>
    <row r="125" spans="1:14" x14ac:dyDescent="0.35">
      <c r="A125" s="7" t="s">
        <v>113</v>
      </c>
      <c r="B125" s="8" t="s">
        <v>174</v>
      </c>
      <c r="C125" s="10">
        <f>20.47*P10</f>
        <v>24.768699999999999</v>
      </c>
      <c r="D125" s="10"/>
      <c r="E125" s="10"/>
      <c r="F125" s="10"/>
      <c r="G125" s="3" t="s">
        <v>150</v>
      </c>
      <c r="H125" s="9" t="s">
        <v>152</v>
      </c>
      <c r="I125" s="3"/>
      <c r="J125" s="9"/>
      <c r="K125" s="9"/>
      <c r="L125" s="10">
        <f t="shared" si="11"/>
        <v>123.84350000000001</v>
      </c>
      <c r="M125" s="3"/>
      <c r="N125" s="10">
        <f t="shared" si="12"/>
        <v>57.793633333333325</v>
      </c>
    </row>
    <row r="126" spans="1:14" x14ac:dyDescent="0.35">
      <c r="A126" s="7" t="s">
        <v>114</v>
      </c>
      <c r="B126" s="8" t="s">
        <v>173</v>
      </c>
      <c r="C126" s="10">
        <v>17.75</v>
      </c>
      <c r="D126" s="10"/>
      <c r="E126" s="10"/>
      <c r="F126" s="10"/>
      <c r="G126" s="3" t="s">
        <v>210</v>
      </c>
      <c r="H126" s="9" t="s">
        <v>211</v>
      </c>
      <c r="I126" s="3"/>
      <c r="J126" s="3"/>
      <c r="K126" s="3"/>
      <c r="L126" s="10">
        <f t="shared" si="11"/>
        <v>88.75</v>
      </c>
      <c r="M126" s="3" t="str">
        <f t="shared" ref="M126:M138" si="14">IF(E126="","",E126*(0.9*1000/$P$5+0.1*1000/$P$6))</f>
        <v/>
      </c>
      <c r="N126" s="10">
        <f t="shared" si="12"/>
        <v>41.416666666666664</v>
      </c>
    </row>
    <row r="127" spans="1:14" x14ac:dyDescent="0.35">
      <c r="A127" s="7" t="s">
        <v>115</v>
      </c>
      <c r="B127" s="8" t="s">
        <v>9</v>
      </c>
      <c r="C127" s="10">
        <v>15.49</v>
      </c>
      <c r="D127" s="10"/>
      <c r="E127" s="10"/>
      <c r="F127" s="10"/>
      <c r="G127" s="3" t="s">
        <v>366</v>
      </c>
      <c r="H127" s="9" t="s">
        <v>240</v>
      </c>
      <c r="I127" s="3"/>
      <c r="J127" s="3"/>
      <c r="K127" s="3"/>
      <c r="L127" s="10">
        <f t="shared" si="11"/>
        <v>77.45</v>
      </c>
      <c r="M127" s="3" t="str">
        <f t="shared" si="14"/>
        <v/>
      </c>
      <c r="N127" s="10">
        <f t="shared" si="12"/>
        <v>36.143333333333331</v>
      </c>
    </row>
    <row r="128" spans="1:14" x14ac:dyDescent="0.35">
      <c r="A128" s="7" t="s">
        <v>116</v>
      </c>
      <c r="B128" s="8" t="s">
        <v>3</v>
      </c>
      <c r="C128" s="10">
        <v>22.24</v>
      </c>
      <c r="D128" s="10"/>
      <c r="E128" s="10"/>
      <c r="F128" s="10"/>
      <c r="G128" s="3" t="s">
        <v>154</v>
      </c>
      <c r="H128" s="9" t="s">
        <v>153</v>
      </c>
      <c r="I128" s="3"/>
      <c r="J128" s="3"/>
      <c r="K128" s="3"/>
      <c r="L128" s="10">
        <f t="shared" si="11"/>
        <v>111.2</v>
      </c>
      <c r="M128" s="3" t="str">
        <f t="shared" si="14"/>
        <v/>
      </c>
      <c r="N128" s="10">
        <f t="shared" si="12"/>
        <v>51.893333333333324</v>
      </c>
    </row>
    <row r="129" spans="1:14" x14ac:dyDescent="0.35">
      <c r="A129" s="7" t="s">
        <v>117</v>
      </c>
      <c r="B129" s="8" t="s">
        <v>175</v>
      </c>
      <c r="C129" s="10">
        <f>20.12*P10</f>
        <v>24.345200000000002</v>
      </c>
      <c r="D129" s="10"/>
      <c r="E129" s="10"/>
      <c r="F129" s="10"/>
      <c r="G129" s="3" t="s">
        <v>150</v>
      </c>
      <c r="H129" s="9" t="s">
        <v>261</v>
      </c>
      <c r="I129" s="3"/>
      <c r="J129" s="3"/>
      <c r="K129" s="3"/>
      <c r="L129" s="10">
        <f t="shared" si="11"/>
        <v>121.726</v>
      </c>
      <c r="M129" s="3" t="str">
        <f t="shared" si="14"/>
        <v/>
      </c>
      <c r="N129" s="10">
        <f t="shared" si="12"/>
        <v>56.805466666666675</v>
      </c>
    </row>
    <row r="130" spans="1:14" x14ac:dyDescent="0.35">
      <c r="A130" s="7" t="s">
        <v>118</v>
      </c>
      <c r="B130" s="8" t="s">
        <v>187</v>
      </c>
      <c r="C130" s="10">
        <v>15.73</v>
      </c>
      <c r="D130" s="10"/>
      <c r="E130" s="10"/>
      <c r="F130" s="10"/>
      <c r="G130" s="3" t="s">
        <v>359</v>
      </c>
      <c r="H130" s="9" t="s">
        <v>237</v>
      </c>
      <c r="I130" s="3"/>
      <c r="J130" s="3"/>
      <c r="K130" s="3"/>
      <c r="L130" s="10">
        <f t="shared" ref="L130:L138" si="15">C130*1000/$P$4</f>
        <v>78.650000000000006</v>
      </c>
      <c r="M130" s="3" t="str">
        <f t="shared" si="14"/>
        <v/>
      </c>
      <c r="N130" s="10">
        <f t="shared" ref="N130:N138" si="16">IF(M130="",C130*($P$7*1000/$P$5+$P$8*1000/$P$6)*$P$9,M130)</f>
        <v>36.703333333333333</v>
      </c>
    </row>
    <row r="131" spans="1:14" ht="15" thickBot="1" x14ac:dyDescent="0.4">
      <c r="A131" s="28" t="s">
        <v>119</v>
      </c>
      <c r="B131" s="29" t="s">
        <v>183</v>
      </c>
      <c r="C131" s="32">
        <v>24.88</v>
      </c>
      <c r="D131" s="32"/>
      <c r="E131" s="32"/>
      <c r="F131" s="32"/>
      <c r="G131" s="30" t="s">
        <v>139</v>
      </c>
      <c r="H131" s="31" t="s">
        <v>209</v>
      </c>
      <c r="I131" s="30"/>
      <c r="J131" s="30"/>
      <c r="K131" s="30"/>
      <c r="L131" s="32">
        <f t="shared" si="15"/>
        <v>124.4</v>
      </c>
      <c r="M131" s="30" t="str">
        <f t="shared" si="14"/>
        <v/>
      </c>
      <c r="N131" s="32">
        <f t="shared" si="16"/>
        <v>58.053333333333335</v>
      </c>
    </row>
    <row r="132" spans="1:14" x14ac:dyDescent="0.35">
      <c r="A132" s="24" t="s">
        <v>1</v>
      </c>
      <c r="B132" s="25" t="s">
        <v>1</v>
      </c>
      <c r="C132" s="33">
        <f>AVERAGE(C11:C14)</f>
        <v>15.95</v>
      </c>
      <c r="D132" s="33"/>
      <c r="E132" s="33">
        <f t="shared" ref="E132" si="17">AVERAGE(E11:E14)</f>
        <v>9.7174999999999994</v>
      </c>
      <c r="F132" s="33"/>
      <c r="G132" s="27"/>
      <c r="H132" s="27"/>
      <c r="I132" s="27"/>
      <c r="J132" s="27"/>
      <c r="K132" s="27"/>
      <c r="L132" s="26">
        <f t="shared" si="15"/>
        <v>79.75</v>
      </c>
      <c r="M132" s="26">
        <f t="shared" si="14"/>
        <v>32.391666666666666</v>
      </c>
      <c r="N132" s="26">
        <f t="shared" si="16"/>
        <v>32.391666666666666</v>
      </c>
    </row>
    <row r="133" spans="1:14" x14ac:dyDescent="0.35">
      <c r="A133" s="7" t="s">
        <v>6</v>
      </c>
      <c r="B133" s="8" t="s">
        <v>6</v>
      </c>
      <c r="C133" s="34">
        <f>AVERAGE(C8:C9)</f>
        <v>17.82</v>
      </c>
      <c r="D133" s="34"/>
      <c r="E133" s="34"/>
      <c r="F133" s="34"/>
      <c r="G133" s="3"/>
      <c r="H133" s="3"/>
      <c r="I133" s="3"/>
      <c r="J133" s="3"/>
      <c r="K133" s="3"/>
      <c r="L133" s="10">
        <f t="shared" si="15"/>
        <v>89.1</v>
      </c>
      <c r="M133" s="3" t="str">
        <f t="shared" si="14"/>
        <v/>
      </c>
      <c r="N133" s="10">
        <f t="shared" si="16"/>
        <v>41.58</v>
      </c>
    </row>
    <row r="134" spans="1:14" x14ac:dyDescent="0.35">
      <c r="A134" s="19" t="s">
        <v>13</v>
      </c>
      <c r="B134" s="8" t="s">
        <v>3</v>
      </c>
      <c r="C134" s="34">
        <f>AVERAGE(C20:C21)</f>
        <v>20.237349999999999</v>
      </c>
      <c r="D134" s="34"/>
      <c r="E134" s="34"/>
      <c r="F134" s="34"/>
      <c r="G134" s="3"/>
      <c r="H134" s="3"/>
      <c r="I134" s="3"/>
      <c r="J134" s="3"/>
      <c r="K134" s="3"/>
      <c r="L134" s="10">
        <f t="shared" si="15"/>
        <v>101.18674999999999</v>
      </c>
      <c r="M134" s="3" t="str">
        <f t="shared" si="14"/>
        <v/>
      </c>
      <c r="N134" s="10">
        <f t="shared" si="16"/>
        <v>47.220483333333334</v>
      </c>
    </row>
    <row r="135" spans="1:14" x14ac:dyDescent="0.35">
      <c r="A135" s="19" t="s">
        <v>24</v>
      </c>
      <c r="B135" s="8" t="s">
        <v>175</v>
      </c>
      <c r="C135" s="34">
        <f>AVERAGE(C32:C33)</f>
        <v>23.0276</v>
      </c>
      <c r="D135" s="34"/>
      <c r="E135" s="34"/>
      <c r="F135" s="34"/>
      <c r="G135" s="3"/>
      <c r="H135" s="3"/>
      <c r="I135" s="3"/>
      <c r="J135" s="3"/>
      <c r="K135" s="3"/>
      <c r="L135" s="10">
        <f t="shared" si="15"/>
        <v>115.13799999999999</v>
      </c>
      <c r="M135" s="3" t="str">
        <f t="shared" si="14"/>
        <v/>
      </c>
      <c r="N135" s="10">
        <f t="shared" si="16"/>
        <v>53.731066666666663</v>
      </c>
    </row>
    <row r="136" spans="1:14" x14ac:dyDescent="0.35">
      <c r="A136" s="19" t="s">
        <v>60</v>
      </c>
      <c r="B136" s="8" t="s">
        <v>186</v>
      </c>
      <c r="C136" s="34">
        <f>AVERAGE(C69:C70)</f>
        <v>18.222300000000001</v>
      </c>
      <c r="D136" s="34"/>
      <c r="E136" s="34"/>
      <c r="F136" s="34"/>
      <c r="G136" s="3"/>
      <c r="H136" s="3"/>
      <c r="I136" s="3"/>
      <c r="J136" s="3"/>
      <c r="K136" s="3"/>
      <c r="L136" s="10">
        <f t="shared" si="15"/>
        <v>91.111499999999992</v>
      </c>
      <c r="M136" s="3" t="str">
        <f t="shared" si="14"/>
        <v/>
      </c>
      <c r="N136" s="10">
        <f t="shared" si="16"/>
        <v>42.518700000000003</v>
      </c>
    </row>
    <row r="137" spans="1:14" x14ac:dyDescent="0.35">
      <c r="A137" s="19" t="s">
        <v>68</v>
      </c>
      <c r="B137" s="8" t="s">
        <v>184</v>
      </c>
      <c r="C137" s="34">
        <f>AVERAGE(C78:C79)</f>
        <v>21.504166776677668</v>
      </c>
      <c r="D137" s="34"/>
      <c r="E137" s="34"/>
      <c r="F137" s="34">
        <f t="shared" ref="F137" si="18">AVERAGE(F78:F79)</f>
        <v>10.33</v>
      </c>
      <c r="G137" s="3"/>
      <c r="H137" s="3"/>
      <c r="I137" s="3"/>
      <c r="J137" s="3"/>
      <c r="K137" s="3"/>
      <c r="L137" s="10">
        <f t="shared" si="15"/>
        <v>107.52083388338833</v>
      </c>
      <c r="M137" s="3" t="str">
        <f t="shared" si="14"/>
        <v/>
      </c>
      <c r="N137" s="10">
        <f t="shared" si="16"/>
        <v>50.176389145581219</v>
      </c>
    </row>
    <row r="138" spans="1:14" x14ac:dyDescent="0.35">
      <c r="A138" s="7" t="s">
        <v>76</v>
      </c>
      <c r="B138" s="8" t="s">
        <v>186</v>
      </c>
      <c r="C138" s="34">
        <f>AVERAGE(C87:C88)</f>
        <v>11.62</v>
      </c>
      <c r="D138" s="34"/>
      <c r="E138" s="34"/>
      <c r="F138" s="34"/>
      <c r="G138" s="3"/>
      <c r="H138" s="9"/>
      <c r="I138" s="3"/>
      <c r="J138" s="3"/>
      <c r="K138" s="3"/>
      <c r="L138" s="10">
        <f t="shared" si="15"/>
        <v>58.1</v>
      </c>
      <c r="M138" s="3" t="str">
        <f t="shared" si="14"/>
        <v/>
      </c>
      <c r="N138" s="10">
        <f t="shared" si="16"/>
        <v>27.113333333333333</v>
      </c>
    </row>
    <row r="139" spans="1:14" x14ac:dyDescent="0.35">
      <c r="A139" s="20"/>
      <c r="B139" s="20"/>
      <c r="C139" s="21"/>
      <c r="H139" s="22"/>
    </row>
  </sheetData>
  <sheetProtection algorithmName="SHA-512" hashValue="3bL9Y/aUXBl8O52P/2TpQH1dsEk1yFJWymshF4iGTGZt49fsHKx2JwrxvEUDR1Fj5Jdt6Osj00eIXTusnSE9ZA==" saltValue="gRRGBiNfaSUDUDXlsBTwIQ==" spinCount="100000" sheet="1" objects="1" scenarios="1"/>
  <autoFilter ref="A3:Q138" xr:uid="{E0A2059E-C8C9-44BA-9CD6-D6B5AD621824}">
    <filterColumn colId="15" showButton="0"/>
  </autoFilter>
  <mergeCells count="9">
    <mergeCell ref="P2:Q3"/>
    <mergeCell ref="L2:M2"/>
    <mergeCell ref="N2:N3"/>
    <mergeCell ref="A2:A3"/>
    <mergeCell ref="B2:B3"/>
    <mergeCell ref="G2:G3"/>
    <mergeCell ref="J2:J3"/>
    <mergeCell ref="I2:I3"/>
    <mergeCell ref="H2:H3"/>
  </mergeCells>
  <phoneticPr fontId="4" type="noConversion"/>
  <hyperlinks>
    <hyperlink ref="H11" r:id="rId1" xr:uid="{92ABCC56-F09D-4163-8C39-A402F04990BD}"/>
    <hyperlink ref="H12:H14" r:id="rId2" display="https://mvd.riga.lv/nozares/vides-parvalde/atkritumu-apsaimniekosana/" xr:uid="{0D51FA54-69A6-41F2-8F7A-7C3C3F5E2FBD}"/>
    <hyperlink ref="H81" r:id="rId3" xr:uid="{0D7BA1C8-95A7-4113-8209-EAB49C5DFE9B}"/>
    <hyperlink ref="H112" r:id="rId4" xr:uid="{0BCE3165-F275-4907-B46A-F1779DCC4347}"/>
    <hyperlink ref="H66" r:id="rId5" xr:uid="{D9CBF237-4334-4B22-AC66-853B31004ADE}"/>
    <hyperlink ref="H32" r:id="rId6" xr:uid="{CB88047E-FF2C-4C16-9E37-B49631139A76}"/>
    <hyperlink ref="H15" r:id="rId7" xr:uid="{7547B3BA-8D92-44DB-8223-D97E120A8F0A}"/>
    <hyperlink ref="H22" r:id="rId8" xr:uid="{4EE30B3D-A092-4241-8F51-67F4981B76E4}"/>
    <hyperlink ref="H25" r:id="rId9" xr:uid="{8F80400B-28AA-4C11-8DE3-81AF5735E381}"/>
    <hyperlink ref="H26" r:id="rId10" xr:uid="{AAA340E9-5283-4878-A712-285B374BFDD3}"/>
    <hyperlink ref="H37" r:id="rId11" xr:uid="{6C2FDDDA-C1B2-4BB9-8A97-81CEC285D300}"/>
    <hyperlink ref="H40" r:id="rId12" xr:uid="{564684F6-CEDA-4059-8069-B880F588AD54}"/>
    <hyperlink ref="H63" r:id="rId13" xr:uid="{C3987274-61DB-4AAF-A9FC-E551E8639B48}"/>
    <hyperlink ref="H73" r:id="rId14" xr:uid="{687621BF-2426-41D4-9FA2-1FC625F5BE35}"/>
    <hyperlink ref="H74" r:id="rId15" xr:uid="{0BB99256-E82F-4A3F-A9A9-BE41AF8F5B9E}"/>
    <hyperlink ref="H80" r:id="rId16" xr:uid="{437D6B93-2151-43AB-8344-614D83D263ED}"/>
    <hyperlink ref="H84" r:id="rId17" xr:uid="{0F5366FD-0772-4098-A119-74F1AB7C9C10}"/>
    <hyperlink ref="H96" r:id="rId18" xr:uid="{98BB0800-EE3A-4820-95B4-D9024BCF5E0A}"/>
    <hyperlink ref="H97" r:id="rId19" xr:uid="{12BF9B05-C623-44E6-A062-22F26512B30F}"/>
    <hyperlink ref="H105" r:id="rId20" xr:uid="{5EB15566-5B51-4CB9-9C2D-7E190E2344A9}"/>
    <hyperlink ref="H106" r:id="rId21" xr:uid="{1D9E6775-8924-4841-BA65-41FC1C432533}"/>
    <hyperlink ref="H110" r:id="rId22" xr:uid="{061519DD-606F-49D4-BD5B-729ED2E4862A}"/>
    <hyperlink ref="H115" r:id="rId23" xr:uid="{ADF85F91-7D59-4A3D-9A1E-9868BDCB31F3}"/>
    <hyperlink ref="H122" r:id="rId24" xr:uid="{8489A294-7A37-49F1-A760-B5AC3C913B9E}"/>
    <hyperlink ref="H125" r:id="rId25" xr:uid="{ED3B6B87-95C6-4D5C-A2EF-57046A74BDCB}"/>
    <hyperlink ref="H60" r:id="rId26" xr:uid="{C65C5CBB-8827-49F9-9828-5ECF289A4750}"/>
    <hyperlink ref="H20" r:id="rId27" xr:uid="{E8D5B95C-B972-4CEB-9E3A-94151490BD54}"/>
    <hyperlink ref="H67" r:id="rId28" xr:uid="{B649457F-9BBF-4C14-A268-E7EC3C5CA511}"/>
    <hyperlink ref="H128" r:id="rId29" xr:uid="{655765C0-4A58-4F5E-B52F-F5E2343FFF7E}"/>
    <hyperlink ref="H18" r:id="rId30" xr:uid="{7A515E5E-DC82-40E9-9333-ABF9BE49841E}"/>
    <hyperlink ref="H56" r:id="rId31" xr:uid="{9F1B3414-94D6-40A3-AB2C-69984D720D7F}"/>
    <hyperlink ref="H85" r:id="rId32" xr:uid="{17F11AB3-E354-45E4-BFF0-99D5E6151F81}"/>
    <hyperlink ref="H5" r:id="rId33" xr:uid="{58770E8F-2FBF-40E5-8D88-A16239436592}"/>
    <hyperlink ref="J5" r:id="rId34" xr:uid="{881F8EBF-6152-4F53-AD60-4E3DDFBE5B7E}"/>
    <hyperlink ref="H113" r:id="rId35" xr:uid="{1B36EA1B-35E3-4A37-A653-693843C7FA66}"/>
    <hyperlink ref="H93" r:id="rId36" xr:uid="{5485744B-4856-41D2-99DD-E2E6ECC0835E}"/>
    <hyperlink ref="H6" r:id="rId37" xr:uid="{D4C10DF8-0708-4309-B791-D910D401483B}"/>
    <hyperlink ref="H38" r:id="rId38" xr:uid="{E6997AB0-63FA-447B-9C56-DA95E6067711}"/>
    <hyperlink ref="H42" r:id="rId39" xr:uid="{3AF1E3DD-7CC0-459B-BA1B-2199CF6F7A3F}"/>
    <hyperlink ref="H53" r:id="rId40" xr:uid="{49A7BFB3-7291-4631-8796-59BF1ABA88ED}"/>
    <hyperlink ref="H55" r:id="rId41" xr:uid="{B39DBB16-5459-4C82-B1E9-A19E3953390F}"/>
    <hyperlink ref="H69" r:id="rId42" xr:uid="{35AC0A11-B67A-47F0-844D-8A4C6E35C81D}"/>
    <hyperlink ref="H71" r:id="rId43" xr:uid="{47568C06-D2AE-4A86-919D-1D85C2676BE8}"/>
    <hyperlink ref="H86" r:id="rId44" xr:uid="{0A522574-C7CE-4F88-AE0F-AF6FEB260585}"/>
    <hyperlink ref="H90" r:id="rId45" xr:uid="{D587ACE0-1348-4F71-A7F5-E1F7B8BAE70E}"/>
    <hyperlink ref="H111" r:id="rId46" xr:uid="{1D401A8D-FFFA-4AAB-B7FD-5A86D9FD46CF}"/>
    <hyperlink ref="H116" r:id="rId47" xr:uid="{01BD98CD-5504-4C20-AAD2-48B0D314F1B5}"/>
    <hyperlink ref="H124" r:id="rId48" xr:uid="{6B73DF38-098D-4B6A-892F-3C15230031F7}"/>
    <hyperlink ref="H131" r:id="rId49" xr:uid="{320A1F57-10F2-4C2D-82D2-87BC5CB9B655}"/>
    <hyperlink ref="H27" r:id="rId50" xr:uid="{30C446DF-B97C-4767-89CE-277FF841C897}"/>
    <hyperlink ref="H28:H29" r:id="rId51" display="https://www.ecobaltiavide.lv/blog/izmainas-sadzives-atkritumu-apsaimniekosanas-maksa-no-2021-gada-1-janvara/" xr:uid="{26EB3B42-F269-477D-94EB-856E17294D4A}"/>
    <hyperlink ref="H82" r:id="rId52" xr:uid="{74B1E522-0F8E-4C05-949A-64313CFEDD9D}"/>
    <hyperlink ref="H119" r:id="rId53" xr:uid="{7119FBE1-FE0B-4CC7-BA34-F0E8ECC874F6}"/>
    <hyperlink ref="H126" r:id="rId54" xr:uid="{D16670C5-5CC9-47B4-97AF-8E456B7757D8}"/>
    <hyperlink ref="H99" r:id="rId55" xr:uid="{5A0A217D-FE2C-4AE7-91F3-4E149E22C6F3}"/>
    <hyperlink ref="H17" r:id="rId56" xr:uid="{7ED9CD66-AAFE-4471-AC04-841D4BD69770}"/>
    <hyperlink ref="H102" r:id="rId57" xr:uid="{BA01D224-4178-495C-B0D4-72EC551EFE12}"/>
    <hyperlink ref="H121" r:id="rId58" xr:uid="{9514D5D5-77B8-47C9-BC7B-90D9E37B1061}"/>
    <hyperlink ref="H95" r:id="rId59" xr:uid="{92B564AD-A058-4E02-80B7-8C2E62D777EE}"/>
    <hyperlink ref="H50" r:id="rId60" xr:uid="{C75D91F9-A262-4BC7-94FF-C73C03204E32}"/>
    <hyperlink ref="H19" r:id="rId61" xr:uid="{4FE45004-6A30-4E7D-9240-26BDC1E4DE82}"/>
    <hyperlink ref="H92" r:id="rId62" xr:uid="{C98E8A5A-D7C3-4905-9B47-544BE2F63159}"/>
    <hyperlink ref="H114" r:id="rId63" xr:uid="{D806F5F0-1742-468E-9991-EF811B455BB0}"/>
    <hyperlink ref="H36" r:id="rId64" xr:uid="{56909874-D872-46F7-9795-82F89869389E}"/>
    <hyperlink ref="H109" r:id="rId65" xr:uid="{3F659231-DAFC-4801-8597-092896481719}"/>
    <hyperlink ref="H24" r:id="rId66" xr:uid="{B1E5F648-B883-4BE3-908C-1406E7F88A95}"/>
    <hyperlink ref="H51" r:id="rId67" xr:uid="{DC4873ED-9A45-4FA1-AFE9-6FFE9697234F}"/>
    <hyperlink ref="H39" r:id="rId68" xr:uid="{011689C2-8D7D-4ABC-951D-346E30F8373D}"/>
    <hyperlink ref="H48" r:id="rId69" xr:uid="{DE82E470-94E7-42AC-BF91-ED4EA1B65610}"/>
    <hyperlink ref="H33" r:id="rId70" xr:uid="{D6100514-E87E-44BE-A565-319A5FAD9277}"/>
    <hyperlink ref="H75" r:id="rId71" xr:uid="{A5CDD461-4BE3-46D2-8B91-F497F9EB9FC2}"/>
    <hyperlink ref="H4" r:id="rId72" xr:uid="{854FED1B-470A-49AE-892E-3BDC0D25EA26}"/>
    <hyperlink ref="H43" r:id="rId73" xr:uid="{947D0830-E1D8-477A-8596-62ABB00C18FE}"/>
    <hyperlink ref="H54" r:id="rId74" xr:uid="{A79B2F11-43CC-457C-9060-0468A2D55D87}"/>
    <hyperlink ref="H68" r:id="rId75" xr:uid="{7C8F080E-912F-4E59-A97B-DB315366737B}"/>
    <hyperlink ref="H77" r:id="rId76" xr:uid="{B29B708D-0A87-4647-8D37-D9E39ABF3A2C}"/>
    <hyperlink ref="H10" r:id="rId77" xr:uid="{D9813E17-D67D-4B45-A03E-63FA15B2C085}"/>
    <hyperlink ref="H41" r:id="rId78" xr:uid="{2AA52533-B9CF-4669-8B79-59991DEC3517}"/>
    <hyperlink ref="H62" r:id="rId79" xr:uid="{BC72C228-9F17-4AE6-9D8D-97CFC747B63F}"/>
    <hyperlink ref="H98" r:id="rId80" xr:uid="{289CAE5B-7D81-4F0F-BF5C-A1C7DAFE28B9}"/>
    <hyperlink ref="H130" r:id="rId81" xr:uid="{018B62D7-9EA7-4547-A0A8-BB38EC68FE2F}"/>
    <hyperlink ref="H7" r:id="rId82" xr:uid="{5844BD59-AC14-46C3-BB46-EE7564D98BA6}"/>
    <hyperlink ref="H59" r:id="rId83" xr:uid="{ED415472-7240-4753-9B77-6DFEBCDAA235}"/>
    <hyperlink ref="H16" r:id="rId84" xr:uid="{7DC4AA91-C959-40CA-8FF9-7FF2194612C7}"/>
    <hyperlink ref="H127" r:id="rId85" xr:uid="{999ACFB4-7994-4992-8CD0-C060D009EC24}"/>
    <hyperlink ref="H23" r:id="rId86" xr:uid="{5522CA80-DA98-4746-A313-17B990209606}"/>
    <hyperlink ref="H70" r:id="rId87" xr:uid="{B28D4427-32EB-49C0-B191-A9467F1D3DF6}"/>
    <hyperlink ref="I51" r:id="rId88" xr:uid="{8EE1BE8C-E44E-4FE6-94BB-AE834BFC37FC}"/>
    <hyperlink ref="J88" r:id="rId89" xr:uid="{E875590E-5B64-4585-90CB-1129AE11E164}"/>
    <hyperlink ref="J64" r:id="rId90" xr:uid="{CD4A71EA-761B-4AFD-B9CA-08192A86D7AF}"/>
    <hyperlink ref="H34" r:id="rId91" xr:uid="{233652B3-C548-4694-972C-8EFDA1634B19}"/>
    <hyperlink ref="H104" r:id="rId92" xr:uid="{DA32C6A9-AD79-4C30-A22E-76991C7344B3}"/>
    <hyperlink ref="H44" r:id="rId93" xr:uid="{0D098748-4AAF-4D01-B220-C0CD6CF561B2}"/>
    <hyperlink ref="H120" r:id="rId94" xr:uid="{DF39C7E1-B586-4D2E-832B-063E9844A97C}"/>
    <hyperlink ref="H118" r:id="rId95" xr:uid="{15F97F6B-0914-4577-910C-D7F2F8364216}"/>
    <hyperlink ref="H100" r:id="rId96" xr:uid="{55A14AEB-CC2F-4D3E-BC33-AAAF2D701AC0}"/>
    <hyperlink ref="H83" r:id="rId97" xr:uid="{C0E0C950-97C7-48F4-9046-FBD97DFD5229}"/>
    <hyperlink ref="H61" r:id="rId98" xr:uid="{D575BEA4-0B17-41FC-B632-71F8A95F79F4}"/>
    <hyperlink ref="H58" r:id="rId99" xr:uid="{2CBA33A2-3315-43CB-A2FF-97F598882DC8}"/>
    <hyperlink ref="H47" r:id="rId100" xr:uid="{EABC0B6B-53E9-4F8F-9BD9-4938AF2F255F}"/>
    <hyperlink ref="H45" r:id="rId101" xr:uid="{AD6AD6F0-279B-40AB-BE37-33DABE369D46}"/>
    <hyperlink ref="H52" r:id="rId102" xr:uid="{0D4C5AA5-F4C4-46F2-9239-5B7F5F486BEC}"/>
    <hyperlink ref="H49" r:id="rId103" xr:uid="{28D002AD-A8E5-441D-8609-3DB89FC11654}"/>
    <hyperlink ref="J49" r:id="rId104" xr:uid="{7959B6B2-D4AC-4BE7-896A-8758A7159AA9}"/>
    <hyperlink ref="H46" r:id="rId105" xr:uid="{8DAB3DAC-5BE0-42A2-A6BD-DE352224D156}"/>
    <hyperlink ref="J7" r:id="rId106" xr:uid="{3DF72633-5993-48B4-980B-BACEE4483D4A}"/>
    <hyperlink ref="H79" r:id="rId107" xr:uid="{F685AD13-FF25-4B91-A923-018CAEAF8EB6}"/>
    <hyperlink ref="H78" r:id="rId108" xr:uid="{9A281213-F4B8-4D24-ACF5-07D1A668B77F}"/>
    <hyperlink ref="H76" r:id="rId109" xr:uid="{A29BF522-1417-4104-8479-5E9ED96EEAC1}"/>
    <hyperlink ref="H91" r:id="rId110" xr:uid="{A6BA9565-7E59-4EE0-A5BC-1A37E52C0E80}"/>
    <hyperlink ref="H103" r:id="rId111" xr:uid="{0BC1BBAD-81A5-463B-AD70-72AF1CFDE7E3}"/>
    <hyperlink ref="H31" r:id="rId112" xr:uid="{60607A0C-E7A1-45FB-A695-DEFFBAE5E9CD}"/>
    <hyperlink ref="H129" r:id="rId113" xr:uid="{908A7BE0-B2A8-4B3C-BEA5-4045F388EC70}"/>
    <hyperlink ref="H117" r:id="rId114" xr:uid="{8CF1ED37-B253-4C86-B143-07F650CDF3B0}"/>
    <hyperlink ref="H57" r:id="rId115" xr:uid="{4F9FEFAF-92E4-4195-9E01-68D99713636D}"/>
    <hyperlink ref="H65" r:id="rId116" xr:uid="{3244E1F0-E4DC-4631-A0C0-BA055A8BC171}"/>
    <hyperlink ref="H89" r:id="rId117" xr:uid="{F614C585-BFD4-49AC-9984-FA21ED70A83B}"/>
    <hyperlink ref="H94" r:id="rId118" xr:uid="{A8C96C36-FD2C-460B-8C1F-138D53889B5F}"/>
    <hyperlink ref="H101" r:id="rId119" xr:uid="{1C1E3A42-846C-4598-A977-847517ABB438}"/>
    <hyperlink ref="H107" r:id="rId120" xr:uid="{8F8C9DDC-FBB2-4F89-A803-AD66F77A56C7}"/>
    <hyperlink ref="H9" r:id="rId121" xr:uid="{D5F54495-C85C-4E7E-8484-3EBFC71FC83C}"/>
    <hyperlink ref="H8" r:id="rId122" xr:uid="{F6CE933E-284C-4057-B147-73485FE4C497}"/>
    <hyperlink ref="J17" r:id="rId123" xr:uid="{31AC6332-E605-4F4D-8549-E911C3A44D16}"/>
  </hyperlinks>
  <pageMargins left="0.7" right="0.7" top="0.75" bottom="0.75" header="0.3" footer="0.3"/>
  <pageSetup paperSize="9" orientation="portrait" verticalDpi="0" r:id="rId124"/>
  <legacyDrawing r:id="rId12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70C26-DACC-4F81-8706-A12C6C6D6BDB}">
  <sheetPr>
    <tabColor rgb="FF92D050"/>
  </sheetPr>
  <dimension ref="A1:Q26"/>
  <sheetViews>
    <sheetView topLeftCell="A2" zoomScale="85" zoomScaleNormal="85" workbookViewId="0">
      <selection activeCell="C13" sqref="C13"/>
    </sheetView>
  </sheetViews>
  <sheetFormatPr defaultColWidth="8.90625" defaultRowHeight="14.5" x14ac:dyDescent="0.35"/>
  <cols>
    <col min="1" max="2" width="20.81640625" style="4" customWidth="1"/>
    <col min="3" max="4" width="18.54296875" style="4" customWidth="1"/>
    <col min="5" max="5" width="21.08984375" style="4" customWidth="1"/>
    <col min="6" max="6" width="13.453125" style="4" customWidth="1"/>
    <col min="7" max="7" width="15.08984375" style="4" customWidth="1"/>
    <col min="8" max="8" width="21.54296875" style="4" customWidth="1"/>
    <col min="9" max="12" width="8.90625" style="4"/>
    <col min="13" max="14" width="16.08984375" style="4" customWidth="1"/>
    <col min="15" max="16384" width="8.90625" style="4"/>
  </cols>
  <sheetData>
    <row r="1" spans="1:17" s="41" customFormat="1" ht="44.4" customHeight="1" x14ac:dyDescent="0.6">
      <c r="A1" s="40" t="s">
        <v>523</v>
      </c>
      <c r="B1" s="190"/>
    </row>
    <row r="2" spans="1:17" ht="44.4" customHeight="1" x14ac:dyDescent="0.35">
      <c r="A2" s="247" t="s">
        <v>436</v>
      </c>
      <c r="B2" s="249" t="s">
        <v>496</v>
      </c>
      <c r="C2" s="245" t="s">
        <v>510</v>
      </c>
      <c r="D2" s="245" t="s">
        <v>509</v>
      </c>
      <c r="E2" s="245" t="s">
        <v>511</v>
      </c>
      <c r="F2" s="245" t="s">
        <v>524</v>
      </c>
      <c r="G2" s="245" t="s">
        <v>508</v>
      </c>
      <c r="H2" s="245" t="s">
        <v>517</v>
      </c>
      <c r="I2" s="257" t="s">
        <v>421</v>
      </c>
      <c r="J2" s="257"/>
      <c r="K2" s="257"/>
      <c r="L2" s="257"/>
      <c r="M2" s="245" t="s">
        <v>527</v>
      </c>
      <c r="N2" s="245" t="s">
        <v>528</v>
      </c>
    </row>
    <row r="3" spans="1:17" s="191" customFormat="1" ht="13.75" customHeight="1" x14ac:dyDescent="0.3">
      <c r="A3" s="248"/>
      <c r="B3" s="250"/>
      <c r="C3" s="246"/>
      <c r="D3" s="246"/>
      <c r="E3" s="246"/>
      <c r="F3" s="246"/>
      <c r="G3" s="246"/>
      <c r="H3" s="246"/>
      <c r="I3" s="192">
        <v>2021</v>
      </c>
      <c r="J3" s="192">
        <v>2022</v>
      </c>
      <c r="K3" s="192">
        <v>2023</v>
      </c>
      <c r="L3" s="192">
        <v>2030</v>
      </c>
      <c r="M3" s="246"/>
      <c r="N3" s="246"/>
    </row>
    <row r="4" spans="1:17" x14ac:dyDescent="0.35">
      <c r="A4" s="193" t="s">
        <v>176</v>
      </c>
      <c r="B4" s="193" t="s">
        <v>497</v>
      </c>
      <c r="C4" s="194">
        <v>21000</v>
      </c>
      <c r="D4" s="195" t="s">
        <v>475</v>
      </c>
      <c r="E4" s="195">
        <v>0</v>
      </c>
      <c r="F4" s="195" t="s">
        <v>333</v>
      </c>
      <c r="G4" s="195" t="s">
        <v>333</v>
      </c>
      <c r="H4" s="196" t="s">
        <v>333</v>
      </c>
      <c r="I4" s="195">
        <v>10120.614276009781</v>
      </c>
      <c r="J4" s="195">
        <v>10263.113451745645</v>
      </c>
      <c r="K4" s="195">
        <v>10348.217727622903</v>
      </c>
      <c r="L4" s="201">
        <v>10399.315422810472</v>
      </c>
      <c r="M4" s="200">
        <f>C4+E4</f>
        <v>21000</v>
      </c>
      <c r="N4" s="200">
        <f>M4</f>
        <v>21000</v>
      </c>
    </row>
    <row r="5" spans="1:17" x14ac:dyDescent="0.35">
      <c r="A5" s="258" t="s">
        <v>437</v>
      </c>
      <c r="B5" s="193" t="s">
        <v>498</v>
      </c>
      <c r="C5" s="194">
        <v>19000</v>
      </c>
      <c r="D5" s="197" t="s">
        <v>513</v>
      </c>
      <c r="E5" s="195">
        <v>3200</v>
      </c>
      <c r="F5" s="195">
        <v>1600</v>
      </c>
      <c r="G5" s="193">
        <v>2008</v>
      </c>
      <c r="H5" s="196" t="s">
        <v>518</v>
      </c>
      <c r="I5" s="254">
        <v>15217.864943657885</v>
      </c>
      <c r="J5" s="254">
        <v>15437.925101745865</v>
      </c>
      <c r="K5" s="254">
        <v>15572.233435644939</v>
      </c>
      <c r="L5" s="251">
        <v>15701.217169016474</v>
      </c>
      <c r="M5" s="200">
        <f t="shared" ref="M5:M11" si="0">C5+E5</f>
        <v>22200</v>
      </c>
      <c r="N5" s="242">
        <f>SUM(M5:M7)</f>
        <v>39200</v>
      </c>
    </row>
    <row r="6" spans="1:17" ht="29" x14ac:dyDescent="0.35">
      <c r="A6" s="260"/>
      <c r="B6" s="193" t="s">
        <v>499</v>
      </c>
      <c r="C6" s="195"/>
      <c r="D6" s="193"/>
      <c r="E6" s="195">
        <v>7000</v>
      </c>
      <c r="F6" s="193">
        <v>8000</v>
      </c>
      <c r="G6" s="193">
        <v>2012</v>
      </c>
      <c r="H6" s="147" t="s">
        <v>519</v>
      </c>
      <c r="I6" s="255"/>
      <c r="J6" s="255"/>
      <c r="K6" s="255"/>
      <c r="L6" s="252"/>
      <c r="M6" s="200">
        <f t="shared" si="0"/>
        <v>7000</v>
      </c>
      <c r="N6" s="243"/>
    </row>
    <row r="7" spans="1:17" x14ac:dyDescent="0.35">
      <c r="A7" s="259"/>
      <c r="B7" s="193" t="s">
        <v>500</v>
      </c>
      <c r="C7" s="195"/>
      <c r="D7" s="193"/>
      <c r="E7" s="195">
        <v>10000</v>
      </c>
      <c r="F7" s="193">
        <v>4433</v>
      </c>
      <c r="G7" s="193">
        <v>2008</v>
      </c>
      <c r="H7" s="147" t="s">
        <v>518</v>
      </c>
      <c r="I7" s="256"/>
      <c r="J7" s="256"/>
      <c r="K7" s="256"/>
      <c r="L7" s="253"/>
      <c r="M7" s="200">
        <f t="shared" si="0"/>
        <v>10000</v>
      </c>
      <c r="N7" s="244"/>
    </row>
    <row r="8" spans="1:17" ht="43.5" x14ac:dyDescent="0.35">
      <c r="A8" s="258" t="s">
        <v>438</v>
      </c>
      <c r="B8" s="193" t="s">
        <v>501</v>
      </c>
      <c r="C8" s="195">
        <v>125000</v>
      </c>
      <c r="D8" s="198" t="s">
        <v>512</v>
      </c>
      <c r="E8" s="195">
        <v>2000</v>
      </c>
      <c r="F8" s="195">
        <v>1400</v>
      </c>
      <c r="G8" s="193">
        <v>2016</v>
      </c>
      <c r="H8" s="196" t="s">
        <v>520</v>
      </c>
      <c r="I8" s="254">
        <v>147727.69624423311</v>
      </c>
      <c r="J8" s="254">
        <v>149985.32830509054</v>
      </c>
      <c r="K8" s="254">
        <v>151412.98422589712</v>
      </c>
      <c r="L8" s="251">
        <v>153574.59987848389</v>
      </c>
      <c r="M8" s="200">
        <f>C8</f>
        <v>125000</v>
      </c>
      <c r="N8" s="242">
        <f>SUM(M8:M9)</f>
        <v>144000</v>
      </c>
      <c r="Q8" s="187"/>
    </row>
    <row r="9" spans="1:17" x14ac:dyDescent="0.35">
      <c r="A9" s="259"/>
      <c r="B9" s="193" t="s">
        <v>502</v>
      </c>
      <c r="C9" s="194">
        <v>19000</v>
      </c>
      <c r="D9" s="195" t="s">
        <v>475</v>
      </c>
      <c r="E9" s="195">
        <v>5000</v>
      </c>
      <c r="F9" s="193">
        <v>2640</v>
      </c>
      <c r="G9" s="193">
        <v>2013</v>
      </c>
      <c r="H9" s="147" t="s">
        <v>516</v>
      </c>
      <c r="I9" s="256"/>
      <c r="J9" s="256"/>
      <c r="K9" s="256"/>
      <c r="L9" s="253"/>
      <c r="M9" s="200">
        <f>C9</f>
        <v>19000</v>
      </c>
      <c r="N9" s="244"/>
    </row>
    <row r="10" spans="1:17" ht="43.5" x14ac:dyDescent="0.35">
      <c r="A10" s="258" t="s">
        <v>439</v>
      </c>
      <c r="B10" s="193" t="s">
        <v>503</v>
      </c>
      <c r="C10" s="194">
        <v>29693</v>
      </c>
      <c r="D10" s="197" t="s">
        <v>514</v>
      </c>
      <c r="E10" s="195">
        <v>16000</v>
      </c>
      <c r="F10" s="195">
        <v>5600</v>
      </c>
      <c r="G10" s="193">
        <v>2004</v>
      </c>
      <c r="H10" s="196" t="s">
        <v>521</v>
      </c>
      <c r="I10" s="254">
        <v>16594.969879027663</v>
      </c>
      <c r="J10" s="254">
        <v>16788.126324156139</v>
      </c>
      <c r="K10" s="254">
        <v>16886.766060183742</v>
      </c>
      <c r="L10" s="251">
        <v>16681.751359655565</v>
      </c>
      <c r="M10" s="200">
        <f>C10+E10</f>
        <v>45693</v>
      </c>
      <c r="N10" s="242">
        <f>SUM(M10:M11)</f>
        <v>46693</v>
      </c>
    </row>
    <row r="11" spans="1:17" ht="29" x14ac:dyDescent="0.35">
      <c r="A11" s="259"/>
      <c r="B11" s="193" t="s">
        <v>504</v>
      </c>
      <c r="C11" s="195"/>
      <c r="D11" s="193"/>
      <c r="E11" s="195">
        <v>1000</v>
      </c>
      <c r="F11" s="193">
        <v>3540</v>
      </c>
      <c r="G11" s="193">
        <v>2008</v>
      </c>
      <c r="H11" s="147" t="s">
        <v>519</v>
      </c>
      <c r="I11" s="256"/>
      <c r="J11" s="256"/>
      <c r="K11" s="256"/>
      <c r="L11" s="253"/>
      <c r="M11" s="200">
        <f t="shared" si="0"/>
        <v>1000</v>
      </c>
      <c r="N11" s="244"/>
    </row>
    <row r="12" spans="1:17" ht="43.5" x14ac:dyDescent="0.35">
      <c r="A12" s="258" t="s">
        <v>440</v>
      </c>
      <c r="B12" s="193" t="s">
        <v>505</v>
      </c>
      <c r="C12" s="194">
        <v>18500</v>
      </c>
      <c r="D12" s="195" t="s">
        <v>475</v>
      </c>
      <c r="E12" s="195">
        <v>10000</v>
      </c>
      <c r="F12" s="195">
        <v>5000</v>
      </c>
      <c r="G12" s="193">
        <v>2009</v>
      </c>
      <c r="H12" s="147" t="s">
        <v>522</v>
      </c>
      <c r="I12" s="254">
        <v>14742.856842749406</v>
      </c>
      <c r="J12" s="254">
        <v>14913.571385466219</v>
      </c>
      <c r="K12" s="254">
        <v>15000.522335541385</v>
      </c>
      <c r="L12" s="251">
        <v>14820.768590804733</v>
      </c>
      <c r="M12" s="200">
        <f>C12</f>
        <v>18500</v>
      </c>
      <c r="N12" s="242">
        <f>SUM(M12:M13)</f>
        <v>38500</v>
      </c>
    </row>
    <row r="13" spans="1:17" x14ac:dyDescent="0.35">
      <c r="A13" s="259"/>
      <c r="B13" s="193" t="s">
        <v>506</v>
      </c>
      <c r="C13" s="195">
        <v>20000</v>
      </c>
      <c r="D13" s="199" t="s">
        <v>515</v>
      </c>
      <c r="E13" s="195">
        <v>2400</v>
      </c>
      <c r="F13" s="193">
        <v>1700</v>
      </c>
      <c r="G13" s="193">
        <v>2012</v>
      </c>
      <c r="H13" s="147" t="s">
        <v>516</v>
      </c>
      <c r="I13" s="256"/>
      <c r="J13" s="256"/>
      <c r="K13" s="256"/>
      <c r="L13" s="253"/>
      <c r="M13" s="200">
        <f>C13</f>
        <v>20000</v>
      </c>
      <c r="N13" s="244"/>
    </row>
    <row r="17" spans="1:3" ht="15" thickBot="1" x14ac:dyDescent="0.4"/>
    <row r="18" spans="1:3" ht="31.5" thickBot="1" x14ac:dyDescent="0.4">
      <c r="A18" s="155" t="s">
        <v>464</v>
      </c>
      <c r="B18" s="156" t="s">
        <v>465</v>
      </c>
      <c r="C18" s="157" t="s">
        <v>466</v>
      </c>
    </row>
    <row r="19" spans="1:3" ht="15.5" x14ac:dyDescent="0.35">
      <c r="A19" s="236" t="s">
        <v>467</v>
      </c>
      <c r="B19" s="238" t="s">
        <v>468</v>
      </c>
      <c r="C19" s="158"/>
    </row>
    <row r="20" spans="1:3" ht="78" thickBot="1" x14ac:dyDescent="0.4">
      <c r="A20" s="237"/>
      <c r="B20" s="239"/>
      <c r="C20" s="159" t="s">
        <v>469</v>
      </c>
    </row>
    <row r="21" spans="1:3" ht="15.5" x14ac:dyDescent="0.35">
      <c r="A21" s="236" t="s">
        <v>470</v>
      </c>
      <c r="B21" s="240" t="s">
        <v>471</v>
      </c>
      <c r="C21" s="160"/>
    </row>
    <row r="22" spans="1:3" ht="78" thickBot="1" x14ac:dyDescent="0.4">
      <c r="A22" s="237"/>
      <c r="B22" s="241"/>
      <c r="C22" s="161" t="s">
        <v>472</v>
      </c>
    </row>
    <row r="23" spans="1:3" ht="124.5" thickBot="1" x14ac:dyDescent="0.4">
      <c r="A23" s="186" t="s">
        <v>473</v>
      </c>
      <c r="B23" s="159" t="s">
        <v>474</v>
      </c>
      <c r="C23" s="159" t="s">
        <v>475</v>
      </c>
    </row>
    <row r="24" spans="1:3" ht="171" thickBot="1" x14ac:dyDescent="0.4">
      <c r="A24" s="186" t="s">
        <v>476</v>
      </c>
      <c r="B24" s="161" t="s">
        <v>477</v>
      </c>
      <c r="C24" s="161" t="s">
        <v>475</v>
      </c>
    </row>
    <row r="25" spans="1:3" ht="202" thickBot="1" x14ac:dyDescent="0.4">
      <c r="A25" s="186" t="s">
        <v>478</v>
      </c>
      <c r="B25" s="159" t="s">
        <v>479</v>
      </c>
      <c r="C25" s="159" t="s">
        <v>475</v>
      </c>
    </row>
    <row r="26" spans="1:3" ht="171" thickBot="1" x14ac:dyDescent="0.4">
      <c r="A26" s="186" t="s">
        <v>480</v>
      </c>
      <c r="B26" s="161" t="s">
        <v>481</v>
      </c>
      <c r="C26" s="161" t="s">
        <v>482</v>
      </c>
    </row>
  </sheetData>
  <sheetProtection algorithmName="SHA-512" hashValue="Vgxc1MvUmUFicYJnFtpQAseDtZ6iK8bzrZ8M1bw3y3peoVJSbrJMrkBPPgWHuVEW1cJZIQWqItQpdvLXpXu6xQ==" saltValue="g00hXgYN1mTAitgqH+ivDw==" spinCount="100000" sheet="1" objects="1" scenarios="1"/>
  <mergeCells count="39">
    <mergeCell ref="K8:K9"/>
    <mergeCell ref="J8:J9"/>
    <mergeCell ref="I8:I9"/>
    <mergeCell ref="L10:L11"/>
    <mergeCell ref="K10:K11"/>
    <mergeCell ref="J10:J11"/>
    <mergeCell ref="I10:I11"/>
    <mergeCell ref="M2:M3"/>
    <mergeCell ref="N2:N3"/>
    <mergeCell ref="A2:A3"/>
    <mergeCell ref="B2:B3"/>
    <mergeCell ref="L5:L7"/>
    <mergeCell ref="K5:K7"/>
    <mergeCell ref="J5:J7"/>
    <mergeCell ref="I5:I7"/>
    <mergeCell ref="I2:L2"/>
    <mergeCell ref="C2:C3"/>
    <mergeCell ref="D2:D3"/>
    <mergeCell ref="E2:E3"/>
    <mergeCell ref="F2:F3"/>
    <mergeCell ref="G2:G3"/>
    <mergeCell ref="H2:H3"/>
    <mergeCell ref="A5:A7"/>
    <mergeCell ref="A19:A20"/>
    <mergeCell ref="B19:B20"/>
    <mergeCell ref="A21:A22"/>
    <mergeCell ref="B21:B22"/>
    <mergeCell ref="N5:N7"/>
    <mergeCell ref="N8:N9"/>
    <mergeCell ref="N10:N11"/>
    <mergeCell ref="N12:N13"/>
    <mergeCell ref="A8:A9"/>
    <mergeCell ref="L12:L13"/>
    <mergeCell ref="K12:K13"/>
    <mergeCell ref="J12:J13"/>
    <mergeCell ref="I12:I13"/>
    <mergeCell ref="A12:A13"/>
    <mergeCell ref="A10:A11"/>
    <mergeCell ref="L8:L9"/>
  </mergeCells>
  <pageMargins left="0.7" right="0.7" top="0.75" bottom="0.75" header="0.3" footer="0.3"/>
  <pageSetup paperSize="9"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6F41-116D-4240-9456-4C12A9B15E6F}">
  <dimension ref="A1:Y242"/>
  <sheetViews>
    <sheetView zoomScale="85" zoomScaleNormal="85" workbookViewId="0">
      <pane xSplit="1" ySplit="4" topLeftCell="B216" activePane="bottomRight" state="frozen"/>
      <selection pane="topRight" activeCell="B1" sqref="B1"/>
      <selection pane="bottomLeft" activeCell="A5" sqref="A5"/>
      <selection pane="bottomRight"/>
    </sheetView>
  </sheetViews>
  <sheetFormatPr defaultColWidth="8.90625" defaultRowHeight="13" outlineLevelRow="1" x14ac:dyDescent="0.3"/>
  <cols>
    <col min="1" max="1" width="23" style="108" bestFit="1" customWidth="1"/>
    <col min="2" max="4" width="14.54296875" style="108" bestFit="1" customWidth="1"/>
    <col min="5" max="5" width="14.54296875" style="178" bestFit="1" customWidth="1"/>
    <col min="6" max="9" width="15.6328125" style="109" bestFit="1" customWidth="1"/>
    <col min="10" max="13" width="15.36328125" style="110" bestFit="1" customWidth="1"/>
    <col min="14" max="17" width="15.54296875" style="109" bestFit="1" customWidth="1"/>
    <col min="18" max="23" width="11.54296875" style="109" customWidth="1"/>
    <col min="24" max="24" width="8" style="108" customWidth="1"/>
    <col min="25" max="25" width="67.90625" style="108" customWidth="1"/>
    <col min="26" max="16384" width="8.90625" style="108"/>
  </cols>
  <sheetData>
    <row r="1" spans="1:25" ht="26" x14ac:dyDescent="0.6">
      <c r="A1" s="39" t="s">
        <v>530</v>
      </c>
      <c r="B1" s="39"/>
      <c r="C1" s="39"/>
      <c r="D1" s="39"/>
      <c r="E1" s="177"/>
      <c r="N1" s="111"/>
      <c r="O1" s="112"/>
    </row>
    <row r="2" spans="1:25" x14ac:dyDescent="0.3">
      <c r="N2" s="111"/>
      <c r="O2" s="112"/>
      <c r="P2" s="112"/>
      <c r="Q2" s="112"/>
    </row>
    <row r="3" spans="1:25" s="142" customFormat="1" ht="55.25" customHeight="1" x14ac:dyDescent="0.35">
      <c r="A3" s="202" t="s">
        <v>429</v>
      </c>
      <c r="B3" s="263" t="s">
        <v>170</v>
      </c>
      <c r="C3" s="263" t="s">
        <v>435</v>
      </c>
      <c r="D3" s="263" t="s">
        <v>436</v>
      </c>
      <c r="E3" s="261" t="s">
        <v>381</v>
      </c>
      <c r="F3" s="268" t="s">
        <v>0</v>
      </c>
      <c r="G3" s="268"/>
      <c r="H3" s="268"/>
      <c r="I3" s="269"/>
      <c r="J3" s="270" t="s">
        <v>305</v>
      </c>
      <c r="K3" s="271"/>
      <c r="L3" s="271"/>
      <c r="M3" s="272"/>
      <c r="N3" s="273" t="s">
        <v>420</v>
      </c>
      <c r="O3" s="274"/>
      <c r="P3" s="274"/>
      <c r="Q3" s="275"/>
      <c r="R3" s="273" t="s">
        <v>421</v>
      </c>
      <c r="S3" s="274"/>
      <c r="T3" s="274"/>
      <c r="U3" s="275"/>
      <c r="V3" s="109"/>
      <c r="W3" s="109"/>
      <c r="X3" s="207" t="s">
        <v>341</v>
      </c>
      <c r="Y3" s="207"/>
    </row>
    <row r="4" spans="1:25" x14ac:dyDescent="0.3">
      <c r="A4" s="203" t="s">
        <v>486</v>
      </c>
      <c r="B4" s="264"/>
      <c r="C4" s="264"/>
      <c r="D4" s="264"/>
      <c r="E4" s="262"/>
      <c r="F4" s="204" t="s">
        <v>444</v>
      </c>
      <c r="G4" s="122" t="s">
        <v>445</v>
      </c>
      <c r="H4" s="122" t="s">
        <v>446</v>
      </c>
      <c r="I4" s="171" t="s">
        <v>485</v>
      </c>
      <c r="J4" s="122" t="s">
        <v>444</v>
      </c>
      <c r="K4" s="122" t="s">
        <v>445</v>
      </c>
      <c r="L4" s="122" t="s">
        <v>446</v>
      </c>
      <c r="M4" s="171" t="s">
        <v>485</v>
      </c>
      <c r="N4" s="122" t="s">
        <v>447</v>
      </c>
      <c r="O4" s="122" t="s">
        <v>448</v>
      </c>
      <c r="P4" s="122" t="s">
        <v>449</v>
      </c>
      <c r="Q4" s="171" t="s">
        <v>487</v>
      </c>
      <c r="R4" s="122" t="s">
        <v>450</v>
      </c>
      <c r="S4" s="122" t="s">
        <v>451</v>
      </c>
      <c r="T4" s="122" t="s">
        <v>452</v>
      </c>
      <c r="U4" s="171" t="s">
        <v>488</v>
      </c>
      <c r="X4" s="207"/>
      <c r="Y4" s="207"/>
    </row>
    <row r="5" spans="1:25" s="113" customFormat="1" ht="14.5" x14ac:dyDescent="0.35">
      <c r="A5" s="98" t="s">
        <v>306</v>
      </c>
      <c r="B5" s="98" t="s">
        <v>333</v>
      </c>
      <c r="C5" s="98" t="s">
        <v>333</v>
      </c>
      <c r="D5" s="98" t="s">
        <v>333</v>
      </c>
      <c r="E5" s="125">
        <f>SUM(E6:E124)</f>
        <v>64573</v>
      </c>
      <c r="F5" s="125">
        <f>SUM(F6:F124)</f>
        <v>1893223</v>
      </c>
      <c r="G5" s="125">
        <f>SUM(G6:G124)</f>
        <v>1876426</v>
      </c>
      <c r="H5" s="125">
        <f>SUM(H6:H124)</f>
        <v>1859631</v>
      </c>
      <c r="I5" s="125">
        <f>SUM(I6:I124)</f>
        <v>1742028</v>
      </c>
      <c r="J5" s="126">
        <f>IKP!J5</f>
        <v>31075056.674999997</v>
      </c>
      <c r="K5" s="126">
        <f>IKP!K5</f>
        <v>32659884.565424994</v>
      </c>
      <c r="L5" s="126">
        <f>IKP!L5</f>
        <v>33900960.178911142</v>
      </c>
      <c r="M5" s="126">
        <f>IKP!M5</f>
        <v>41020161.816482484</v>
      </c>
      <c r="N5" s="127">
        <f>((-0.0000000006)*IKP!$J$5 + 0.0461)*J5</f>
        <v>853164.62430482276</v>
      </c>
      <c r="O5" s="127">
        <f>((-0.0000000006)*IKP!$K$5 + 0.0461)*K5</f>
        <v>865619.84256996086</v>
      </c>
      <c r="P5" s="127">
        <f>((-0.0000000006)*IKP!$L$5 + 0.0461)*L5</f>
        <v>873269.20361653226</v>
      </c>
      <c r="Q5" s="127">
        <f>((-0.0000000006)*IKP!$L$5 + 0.0461)*M5</f>
        <v>1056655.7363760041</v>
      </c>
      <c r="R5" s="127">
        <f t="shared" ref="R5:U6" si="0">N5*$X$6*$X$5</f>
        <v>204759.50983315747</v>
      </c>
      <c r="S5" s="127">
        <f t="shared" si="0"/>
        <v>207748.76221679061</v>
      </c>
      <c r="T5" s="127">
        <f t="shared" si="0"/>
        <v>209584.60886796776</v>
      </c>
      <c r="U5" s="127">
        <f t="shared" si="0"/>
        <v>253597.37673024097</v>
      </c>
      <c r="V5" s="109"/>
      <c r="W5" s="109"/>
      <c r="X5" s="140">
        <v>0.6</v>
      </c>
      <c r="Y5" s="23" t="s">
        <v>430</v>
      </c>
    </row>
    <row r="6" spans="1:25" s="115" customFormat="1" ht="14.5" hidden="1" outlineLevel="1" x14ac:dyDescent="0.35">
      <c r="A6" s="131" t="s">
        <v>1</v>
      </c>
      <c r="B6" s="176" t="s">
        <v>1</v>
      </c>
      <c r="C6" s="176" t="s">
        <v>1</v>
      </c>
      <c r="D6" s="176" t="s">
        <v>438</v>
      </c>
      <c r="E6" s="180">
        <v>304</v>
      </c>
      <c r="F6" s="132">
        <f>VLOOKUP(A6,Iedz_sk!$B$5:$Y$123,15,FALSE)</f>
        <v>614618</v>
      </c>
      <c r="G6" s="132">
        <f>VLOOKUP(A6,Iedz_sk!$B$5:$Y$123,16,FALSE)</f>
        <v>615772</v>
      </c>
      <c r="H6" s="132">
        <f>VLOOKUP(A6,Iedz_sk!$B$5:$Y$123,17,FALSE)</f>
        <v>616925</v>
      </c>
      <c r="I6" s="172">
        <f>VLOOKUP(A6,Iedz_sk!$B$5:$Y$123,24,FALSE)</f>
        <v>625000</v>
      </c>
      <c r="J6" s="133">
        <f>VLOOKUP($A6,IKP!$Q$6:$AC$124,11,FALSE)</f>
        <v>17476089.690851513</v>
      </c>
      <c r="K6" s="133">
        <f>VLOOKUP($A6,IKP!$Q$6:$AC$124,12,FALSE)</f>
        <v>18367370.265084941</v>
      </c>
      <c r="L6" s="133">
        <f>VLOOKUP($A6,IKP!$Q$6:$AC$124,13,FALSE)</f>
        <v>19065330.335158169</v>
      </c>
      <c r="M6" s="172">
        <f>VLOOKUP($A6,IKP!$Q$6:$AD$124,14,FALSE)</f>
        <v>23069049.705541383</v>
      </c>
      <c r="N6" s="134">
        <f>((-0.0000000006)*IKP!$J$5 + 0.0461)*J6</f>
        <v>479805.44818789844</v>
      </c>
      <c r="O6" s="134">
        <f>((-0.0000000006)*IKP!$K$5 + 0.0461)*K6</f>
        <v>486810.05364355963</v>
      </c>
      <c r="P6" s="134">
        <f>((-0.0000000006)*IKP!$L$5 + 0.0461)*L6</f>
        <v>491111.92575680139</v>
      </c>
      <c r="Q6" s="174">
        <f>((-0.0000000006)*IKP!$M$5 + 0.0461)*M6</f>
        <v>495705.50030118669</v>
      </c>
      <c r="R6" s="134">
        <f t="shared" si="0"/>
        <v>115153.30756509562</v>
      </c>
      <c r="S6" s="134">
        <f t="shared" si="0"/>
        <v>116834.41287445431</v>
      </c>
      <c r="T6" s="134">
        <f t="shared" si="0"/>
        <v>117866.86218163234</v>
      </c>
      <c r="U6" s="172">
        <f t="shared" si="0"/>
        <v>118969.3200722848</v>
      </c>
      <c r="V6" s="109"/>
      <c r="W6" s="109"/>
      <c r="X6" s="140">
        <v>0.4</v>
      </c>
      <c r="Y6" s="23" t="s">
        <v>340</v>
      </c>
    </row>
    <row r="7" spans="1:25" hidden="1" outlineLevel="1" x14ac:dyDescent="0.3">
      <c r="A7" s="98" t="s">
        <v>2</v>
      </c>
      <c r="B7" s="176" t="s">
        <v>2</v>
      </c>
      <c r="C7" s="176" t="s">
        <v>2</v>
      </c>
      <c r="D7" s="176" t="s">
        <v>437</v>
      </c>
      <c r="E7" s="180">
        <v>72</v>
      </c>
      <c r="F7" s="132">
        <f>VLOOKUP(A7,Iedz_sk!$B$5:$Y$123,15,FALSE)</f>
        <v>80627</v>
      </c>
      <c r="G7" s="132">
        <f>VLOOKUP(A7,Iedz_sk!$B$5:$Y$123,16,FALSE)</f>
        <v>79117</v>
      </c>
      <c r="H7" s="132">
        <f>VLOOKUP(A7,Iedz_sk!$B$5:$Y$123,17,FALSE)</f>
        <v>77607</v>
      </c>
      <c r="I7" s="172">
        <f>VLOOKUP(A7,Iedz_sk!$B$5:$Y$123,24,FALSE)</f>
        <v>67039</v>
      </c>
      <c r="J7" s="133">
        <f>VLOOKUP($A7,IKP!$Q$6:$AC$124,11,FALSE)</f>
        <v>738858.72397600824</v>
      </c>
      <c r="K7" s="133">
        <f>VLOOKUP($A7,IKP!$Q$6:$AC$124,12,FALSE)</f>
        <v>776540.51889878465</v>
      </c>
      <c r="L7" s="133">
        <f>VLOOKUP($A7,IKP!$Q$6:$AC$124,13,FALSE)</f>
        <v>806049.05861693854</v>
      </c>
      <c r="M7" s="172">
        <f>VLOOKUP($A7,IKP!$Q$6:$AD$124,14,FALSE)</f>
        <v>975319.36092649563</v>
      </c>
      <c r="N7" s="132">
        <f>((-0.0000000006)*IKP!$J$5 + 0.0461)*J7</f>
        <v>20285.341141870402</v>
      </c>
      <c r="O7" s="132">
        <f>((-0.0000000006)*IKP!$K$5 + 0.0461)*K7</f>
        <v>20581.483696668256</v>
      </c>
      <c r="P7" s="132">
        <f>((-0.0000000006)*IKP!$L$5 + 0.0461)*L7</f>
        <v>20763.359379187881</v>
      </c>
      <c r="Q7" s="172">
        <f>((-0.0000000006)*IKP!$M$5 + 0.0461)*M7</f>
        <v>20957.56773393957</v>
      </c>
      <c r="R7" s="132">
        <f t="shared" ref="R7:R38" si="1">N7*$X$6*$X$5</f>
        <v>4868.4818740488963</v>
      </c>
      <c r="S7" s="132">
        <f t="shared" ref="S7:S38" si="2">O7*$X$6*$X$5</f>
        <v>4939.5560872003816</v>
      </c>
      <c r="T7" s="132">
        <f t="shared" ref="T7:T38" si="3">P7*$X$6*$X$5</f>
        <v>4983.2062510050919</v>
      </c>
      <c r="U7" s="172">
        <f t="shared" ref="U7:U70" si="4">Q7*$X$6*$X$5</f>
        <v>5029.8162561454974</v>
      </c>
    </row>
    <row r="8" spans="1:25" hidden="1" outlineLevel="1" x14ac:dyDescent="0.3">
      <c r="A8" s="98" t="s">
        <v>3</v>
      </c>
      <c r="B8" s="176" t="s">
        <v>51</v>
      </c>
      <c r="C8" s="176" t="s">
        <v>51</v>
      </c>
      <c r="D8" s="176" t="s">
        <v>437</v>
      </c>
      <c r="E8" s="180">
        <v>25</v>
      </c>
      <c r="F8" s="132">
        <f>VLOOKUP(A8,Iedz_sk!$B$5:$Y$123,15,FALSE)</f>
        <v>21629</v>
      </c>
      <c r="G8" s="132">
        <f>VLOOKUP(A8,Iedz_sk!$B$5:$Y$123,16,FALSE)</f>
        <v>21261</v>
      </c>
      <c r="H8" s="132">
        <f>VLOOKUP(A8,Iedz_sk!$B$5:$Y$123,17,FALSE)</f>
        <v>20893</v>
      </c>
      <c r="I8" s="172">
        <f>VLOOKUP(A8,Iedz_sk!$B$5:$Y$123,24,FALSE)</f>
        <v>18315</v>
      </c>
      <c r="J8" s="133">
        <f>VLOOKUP($A8,IKP!$Q$6:$AC$124,11,FALSE)</f>
        <v>249971.80159214966</v>
      </c>
      <c r="K8" s="133">
        <f>VLOOKUP($A8,IKP!$Q$6:$AC$124,12,FALSE)</f>
        <v>262720.36347334925</v>
      </c>
      <c r="L8" s="133">
        <f>VLOOKUP($A8,IKP!$Q$6:$AC$124,13,FALSE)</f>
        <v>272703.73728533654</v>
      </c>
      <c r="M8" s="172">
        <f>VLOOKUP($A8,IKP!$Q$6:$AD$124,14,FALSE)</f>
        <v>329971.52211525722</v>
      </c>
      <c r="N8" s="132">
        <f>((-0.0000000006)*IKP!$J$5 + 0.0461)*J8</f>
        <v>6862.9673124213568</v>
      </c>
      <c r="O8" s="132">
        <f>((-0.0000000006)*IKP!$K$5 + 0.0461)*K8</f>
        <v>6963.1587097057509</v>
      </c>
      <c r="P8" s="132">
        <f>((-0.0000000006)*IKP!$L$5 + 0.0461)*L8</f>
        <v>7024.6911658437512</v>
      </c>
      <c r="Q8" s="172">
        <f>((-0.0000000006)*IKP!$M$5 + 0.0461)*M8</f>
        <v>7090.3960303140302</v>
      </c>
      <c r="R8" s="132">
        <f t="shared" si="1"/>
        <v>1647.1121549811257</v>
      </c>
      <c r="S8" s="132">
        <f t="shared" si="2"/>
        <v>1671.1580903293802</v>
      </c>
      <c r="T8" s="132">
        <f t="shared" si="3"/>
        <v>1685.9258798025003</v>
      </c>
      <c r="U8" s="172">
        <f t="shared" si="4"/>
        <v>1701.6950472753674</v>
      </c>
    </row>
    <row r="9" spans="1:25" hidden="1" outlineLevel="1" x14ac:dyDescent="0.3">
      <c r="A9" s="98" t="s">
        <v>4</v>
      </c>
      <c r="B9" s="176" t="s">
        <v>4</v>
      </c>
      <c r="C9" s="176" t="s">
        <v>4</v>
      </c>
      <c r="D9" s="176" t="s">
        <v>440</v>
      </c>
      <c r="E9" s="180">
        <v>101</v>
      </c>
      <c r="F9" s="132">
        <f>VLOOKUP(A9,Iedz_sk!$B$5:$Y$123,15,FALSE)</f>
        <v>50248</v>
      </c>
      <c r="G9" s="132">
        <f>VLOOKUP(A9,Iedz_sk!$B$5:$Y$123,16,FALSE)</f>
        <v>49821</v>
      </c>
      <c r="H9" s="132">
        <f>VLOOKUP(A9,Iedz_sk!$B$5:$Y$123,17,FALSE)</f>
        <v>49394</v>
      </c>
      <c r="I9" s="172">
        <f>VLOOKUP(A9,Iedz_sk!$B$5:$Y$123,24,FALSE)</f>
        <v>46404</v>
      </c>
      <c r="J9" s="133">
        <f>VLOOKUP($A9,IKP!$Q$6:$AC$124,11,FALSE)</f>
        <v>449115.7015194947</v>
      </c>
      <c r="K9" s="133">
        <f>VLOOKUP($A9,IKP!$Q$6:$AC$124,12,FALSE)</f>
        <v>472020.60229698889</v>
      </c>
      <c r="L9" s="133">
        <f>VLOOKUP($A9,IKP!$Q$6:$AC$124,13,FALSE)</f>
        <v>489957.38518427446</v>
      </c>
      <c r="M9" s="172">
        <f>VLOOKUP($A9,IKP!$Q$6:$AD$124,14,FALSE)</f>
        <v>592848.43607297214</v>
      </c>
      <c r="N9" s="132">
        <f>((-0.0000000006)*IKP!$J$5 + 0.0461)*J9</f>
        <v>12330.456313038299</v>
      </c>
      <c r="O9" s="132">
        <f>((-0.0000000006)*IKP!$K$5 + 0.0461)*K9</f>
        <v>12510.466735777967</v>
      </c>
      <c r="P9" s="132">
        <f>((-0.0000000006)*IKP!$L$5 + 0.0461)*L9</f>
        <v>12621.019974297744</v>
      </c>
      <c r="Q9" s="172">
        <f>((-0.0000000006)*IKP!$M$5 + 0.0461)*M9</f>
        <v>12739.069634746884</v>
      </c>
      <c r="R9" s="132">
        <f t="shared" si="1"/>
        <v>2959.3095151291923</v>
      </c>
      <c r="S9" s="132">
        <f t="shared" si="2"/>
        <v>3002.5120165867124</v>
      </c>
      <c r="T9" s="132">
        <f t="shared" si="3"/>
        <v>3029.0447938314587</v>
      </c>
      <c r="U9" s="172">
        <f t="shared" si="4"/>
        <v>3057.3767123392522</v>
      </c>
    </row>
    <row r="10" spans="1:25" hidden="1" outlineLevel="1" x14ac:dyDescent="0.3">
      <c r="A10" s="98" t="s">
        <v>5</v>
      </c>
      <c r="B10" s="176" t="s">
        <v>5</v>
      </c>
      <c r="C10" s="176" t="s">
        <v>5</v>
      </c>
      <c r="D10" s="176" t="s">
        <v>438</v>
      </c>
      <c r="E10" s="180">
        <v>60</v>
      </c>
      <c r="F10" s="132">
        <f>VLOOKUP(A10,Iedz_sk!$B$5:$Y$123,15,FALSE)</f>
        <v>55336</v>
      </c>
      <c r="G10" s="132">
        <f>VLOOKUP(A10,Iedz_sk!$B$5:$Y$123,16,FALSE)</f>
        <v>54885</v>
      </c>
      <c r="H10" s="132">
        <f>VLOOKUP(A10,Iedz_sk!$B$5:$Y$123,17,FALSE)</f>
        <v>54435</v>
      </c>
      <c r="I10" s="172">
        <f>VLOOKUP(A10,Iedz_sk!$B$5:$Y$123,24,FALSE)</f>
        <v>51280</v>
      </c>
      <c r="J10" s="133">
        <f>VLOOKUP($A10,IKP!$Q$6:$AC$124,11,FALSE)</f>
        <v>621956.14901143278</v>
      </c>
      <c r="K10" s="133">
        <f>VLOOKUP($A10,IKP!$Q$6:$AC$124,12,FALSE)</f>
        <v>653675.91261101584</v>
      </c>
      <c r="L10" s="133">
        <f>VLOOKUP($A10,IKP!$Q$6:$AC$124,13,FALSE)</f>
        <v>678515.59729023441</v>
      </c>
      <c r="M10" s="172">
        <f>VLOOKUP($A10,IKP!$Q$6:$AD$124,14,FALSE)</f>
        <v>821003.87272118358</v>
      </c>
      <c r="N10" s="132">
        <f>((-0.0000000006)*IKP!$J$5 + 0.0461)*J10</f>
        <v>17075.784921490042</v>
      </c>
      <c r="O10" s="132">
        <f>((-0.0000000006)*IKP!$K$5 + 0.0461)*K10</f>
        <v>17325.071661923066</v>
      </c>
      <c r="P10" s="132">
        <f>((-0.0000000006)*IKP!$L$5 + 0.0461)*L10</f>
        <v>17478.170888376</v>
      </c>
      <c r="Q10" s="172">
        <f>((-0.0000000006)*IKP!$M$5 + 0.0461)*M10</f>
        <v>17641.651505857521</v>
      </c>
      <c r="R10" s="132">
        <f t="shared" si="1"/>
        <v>4098.1883811576099</v>
      </c>
      <c r="S10" s="132">
        <f t="shared" si="2"/>
        <v>4158.0171988615357</v>
      </c>
      <c r="T10" s="132">
        <f t="shared" si="3"/>
        <v>4194.76101321024</v>
      </c>
      <c r="U10" s="172">
        <f t="shared" si="4"/>
        <v>4233.9963614058051</v>
      </c>
    </row>
    <row r="11" spans="1:25" s="115" customFormat="1" hidden="1" outlineLevel="1" x14ac:dyDescent="0.3">
      <c r="A11" s="131" t="s">
        <v>6</v>
      </c>
      <c r="B11" s="176" t="s">
        <v>6</v>
      </c>
      <c r="C11" s="176" t="s">
        <v>6</v>
      </c>
      <c r="D11" s="176" t="s">
        <v>176</v>
      </c>
      <c r="E11" s="180">
        <v>68</v>
      </c>
      <c r="F11" s="132">
        <f>VLOOKUP(A11,Iedz_sk!$B$5:$Y$123,15,FALSE)</f>
        <v>67964</v>
      </c>
      <c r="G11" s="132">
        <f>VLOOKUP(A11,Iedz_sk!$B$5:$Y$123,16,FALSE)</f>
        <v>66775</v>
      </c>
      <c r="H11" s="132">
        <f>VLOOKUP(A11,Iedz_sk!$B$5:$Y$123,17,FALSE)</f>
        <v>65587</v>
      </c>
      <c r="I11" s="172">
        <f>VLOOKUP(A11,Iedz_sk!$B$5:$Y$123,24,FALSE)</f>
        <v>57267</v>
      </c>
      <c r="J11" s="133">
        <f>VLOOKUP($A11,IKP!$Q$6:$AC$124,11,FALSE)</f>
        <v>956530.2654413135</v>
      </c>
      <c r="K11" s="133">
        <f>VLOOKUP($A11,IKP!$Q$6:$AC$124,12,FALSE)</f>
        <v>1005313.3089788205</v>
      </c>
      <c r="L11" s="133">
        <f>VLOOKUP($A11,IKP!$Q$6:$AC$124,13,FALSE)</f>
        <v>1043515.2147200156</v>
      </c>
      <c r="M11" s="172">
        <f>VLOOKUP($A11,IKP!$Q$6:$AD$124,14,FALSE)</f>
        <v>1262653.409811219</v>
      </c>
      <c r="N11" s="132">
        <f>((-0.0000000006)*IKP!$J$5 + 0.0461)*J11</f>
        <v>26261.50591087959</v>
      </c>
      <c r="O11" s="132">
        <f>((-0.0000000006)*IKP!$K$5 + 0.0461)*K11</f>
        <v>26644.893569923403</v>
      </c>
      <c r="P11" s="132">
        <f>((-0.0000000006)*IKP!$L$5 + 0.0461)*L11</f>
        <v>26880.350754406027</v>
      </c>
      <c r="Q11" s="172">
        <f>((-0.0000000006)*IKP!$M$5 + 0.0461)*M11</f>
        <v>27131.773879143453</v>
      </c>
      <c r="R11" s="132">
        <f t="shared" si="1"/>
        <v>6302.7614186111014</v>
      </c>
      <c r="S11" s="132">
        <f t="shared" si="2"/>
        <v>6394.7744567816171</v>
      </c>
      <c r="T11" s="132">
        <f t="shared" si="3"/>
        <v>6451.2841810574464</v>
      </c>
      <c r="U11" s="172">
        <f t="shared" si="4"/>
        <v>6511.6257309944294</v>
      </c>
      <c r="V11" s="175"/>
      <c r="W11" s="175"/>
      <c r="Y11" s="108"/>
    </row>
    <row r="12" spans="1:25" hidden="1" outlineLevel="1" x14ac:dyDescent="0.3">
      <c r="A12" s="98" t="s">
        <v>7</v>
      </c>
      <c r="B12" s="176" t="s">
        <v>7</v>
      </c>
      <c r="C12" s="176" t="s">
        <v>7</v>
      </c>
      <c r="D12" s="176" t="s">
        <v>437</v>
      </c>
      <c r="E12" s="180">
        <v>18</v>
      </c>
      <c r="F12" s="132">
        <f>VLOOKUP(A12,Iedz_sk!$B$5:$Y$123,15,FALSE)</f>
        <v>26839</v>
      </c>
      <c r="G12" s="132">
        <f>VLOOKUP(A12,Iedz_sk!$B$5:$Y$123,16,FALSE)</f>
        <v>26264</v>
      </c>
      <c r="H12" s="132">
        <f>VLOOKUP(A12,Iedz_sk!$B$5:$Y$123,17,FALSE)</f>
        <v>25689</v>
      </c>
      <c r="I12" s="172">
        <f>VLOOKUP(A12,Iedz_sk!$B$5:$Y$123,24,FALSE)</f>
        <v>21662</v>
      </c>
      <c r="J12" s="133">
        <f>VLOOKUP($A12,IKP!$Q$6:$AC$124,11,FALSE)</f>
        <v>301295.35124424868</v>
      </c>
      <c r="K12" s="133">
        <f>VLOOKUP($A12,IKP!$Q$6:$AC$124,12,FALSE)</f>
        <v>316661.41415770532</v>
      </c>
      <c r="L12" s="133">
        <f>VLOOKUP($A12,IKP!$Q$6:$AC$124,13,FALSE)</f>
        <v>328694.54789569811</v>
      </c>
      <c r="M12" s="172">
        <f>VLOOKUP($A12,IKP!$Q$6:$AD$124,14,FALSE)</f>
        <v>397720.40295379469</v>
      </c>
      <c r="N12" s="132">
        <f>((-0.0000000006)*IKP!$J$5 + 0.0461)*J12</f>
        <v>8272.0536228624296</v>
      </c>
      <c r="O12" s="132">
        <f>((-0.0000000006)*IKP!$K$5 + 0.0461)*K12</f>
        <v>8392.8160530412806</v>
      </c>
      <c r="P12" s="132">
        <f>((-0.0000000006)*IKP!$L$5 + 0.0461)*L12</f>
        <v>8466.9821904493256</v>
      </c>
      <c r="Q12" s="172">
        <f>((-0.0000000006)*IKP!$M$5 + 0.0461)*M12</f>
        <v>8546.1774040411692</v>
      </c>
      <c r="R12" s="132">
        <f t="shared" si="1"/>
        <v>1985.2928694869831</v>
      </c>
      <c r="S12" s="132">
        <f t="shared" si="2"/>
        <v>2014.2758527299075</v>
      </c>
      <c r="T12" s="132">
        <f t="shared" si="3"/>
        <v>2032.075725707838</v>
      </c>
      <c r="U12" s="172">
        <f t="shared" si="4"/>
        <v>2051.0825769698804</v>
      </c>
      <c r="V12" s="175"/>
      <c r="W12" s="175"/>
    </row>
    <row r="13" spans="1:25" hidden="1" outlineLevel="1" x14ac:dyDescent="0.3">
      <c r="A13" s="98" t="s">
        <v>8</v>
      </c>
      <c r="B13" s="176" t="s">
        <v>442</v>
      </c>
      <c r="C13" s="176" t="s">
        <v>442</v>
      </c>
      <c r="D13" s="176" t="s">
        <v>439</v>
      </c>
      <c r="E13" s="180">
        <v>19</v>
      </c>
      <c r="F13" s="132">
        <f>VLOOKUP(A13,Iedz_sk!$B$5:$Y$123,15,FALSE)</f>
        <v>22971</v>
      </c>
      <c r="G13" s="132">
        <f>VLOOKUP(A13,Iedz_sk!$B$5:$Y$123,16,FALSE)</f>
        <v>22974</v>
      </c>
      <c r="H13" s="132">
        <f>VLOOKUP(A13,Iedz_sk!$B$5:$Y$123,17,FALSE)</f>
        <v>22977</v>
      </c>
      <c r="I13" s="172">
        <f>VLOOKUP(A13,Iedz_sk!$B$5:$Y$123,24,FALSE)</f>
        <v>23000</v>
      </c>
      <c r="J13" s="133">
        <f>VLOOKUP($A13,IKP!$Q$6:$AC$124,11,FALSE)</f>
        <v>416243.04791054904</v>
      </c>
      <c r="K13" s="133">
        <f>VLOOKUP($A13,IKP!$Q$6:$AC$124,12,FALSE)</f>
        <v>437471.44335398701</v>
      </c>
      <c r="L13" s="133">
        <f>VLOOKUP($A13,IKP!$Q$6:$AC$124,13,FALSE)</f>
        <v>454095.3582014385</v>
      </c>
      <c r="M13" s="172">
        <f>VLOOKUP($A13,IKP!$Q$6:$AD$124,14,FALSE)</f>
        <v>549455.38342374063</v>
      </c>
      <c r="N13" s="132">
        <f>((-0.0000000006)*IKP!$J$5 + 0.0461)*J13</f>
        <v>11427.938726039281</v>
      </c>
      <c r="O13" s="132">
        <f>((-0.0000000006)*IKP!$K$5 + 0.0461)*K13</f>
        <v>11594.773434252158</v>
      </c>
      <c r="P13" s="132">
        <f>((-0.0000000006)*IKP!$L$5 + 0.0461)*L13</f>
        <v>11697.234819597101</v>
      </c>
      <c r="Q13" s="172">
        <f>((-0.0000000006)*IKP!$M$5 + 0.0461)*M13</f>
        <v>11806.643932446883</v>
      </c>
      <c r="R13" s="132">
        <f t="shared" si="1"/>
        <v>2742.7052942494274</v>
      </c>
      <c r="S13" s="132">
        <f t="shared" si="2"/>
        <v>2782.745624220518</v>
      </c>
      <c r="T13" s="132">
        <f t="shared" si="3"/>
        <v>2807.3363567033043</v>
      </c>
      <c r="U13" s="172">
        <f t="shared" si="4"/>
        <v>2833.594543787252</v>
      </c>
      <c r="V13" s="175"/>
      <c r="W13" s="175"/>
    </row>
    <row r="14" spans="1:25" hidden="1" outlineLevel="1" x14ac:dyDescent="0.3">
      <c r="A14" s="98" t="s">
        <v>9</v>
      </c>
      <c r="B14" s="176" t="s">
        <v>9</v>
      </c>
      <c r="C14" s="176" t="s">
        <v>9</v>
      </c>
      <c r="D14" s="176" t="s">
        <v>440</v>
      </c>
      <c r="E14" s="180">
        <v>58</v>
      </c>
      <c r="F14" s="132">
        <f>VLOOKUP(A14,Iedz_sk!$B$5:$Y$123,15,FALSE)</f>
        <v>33372</v>
      </c>
      <c r="G14" s="132">
        <f>VLOOKUP(A14,Iedz_sk!$B$5:$Y$123,16,FALSE)</f>
        <v>32851</v>
      </c>
      <c r="H14" s="132">
        <f>VLOOKUP(A14,Iedz_sk!$B$5:$Y$123,17,FALSE)</f>
        <v>32329</v>
      </c>
      <c r="I14" s="172">
        <f>VLOOKUP(A14,Iedz_sk!$B$5:$Y$123,24,FALSE)</f>
        <v>28680</v>
      </c>
      <c r="J14" s="133">
        <f>VLOOKUP($A14,IKP!$Q$6:$AC$124,11,FALSE)</f>
        <v>501127.82880555547</v>
      </c>
      <c r="K14" s="133">
        <f>VLOOKUP($A14,IKP!$Q$6:$AC$124,12,FALSE)</f>
        <v>526685.34807463875</v>
      </c>
      <c r="L14" s="133">
        <f>VLOOKUP($A14,IKP!$Q$6:$AC$124,13,FALSE)</f>
        <v>546699.391301475</v>
      </c>
      <c r="M14" s="172">
        <f>VLOOKUP($A14,IKP!$Q$6:$AD$124,14,FALSE)</f>
        <v>661506.26347478468</v>
      </c>
      <c r="N14" s="132">
        <f>((-0.0000000006)*IKP!$J$5 + 0.0461)*J14</f>
        <v>13758.447499004709</v>
      </c>
      <c r="O14" s="132">
        <f>((-0.0000000006)*IKP!$K$5 + 0.0461)*K14</f>
        <v>13959.304943989817</v>
      </c>
      <c r="P14" s="132">
        <f>((-0.0000000006)*IKP!$L$5 + 0.0461)*L14</f>
        <v>14082.661362390239</v>
      </c>
      <c r="Q14" s="172">
        <f>((-0.0000000006)*IKP!$M$5 + 0.0461)*M14</f>
        <v>14214.382363976156</v>
      </c>
      <c r="R14" s="132">
        <f t="shared" si="1"/>
        <v>3302.0273997611303</v>
      </c>
      <c r="S14" s="132">
        <f t="shared" si="2"/>
        <v>3350.2331865575566</v>
      </c>
      <c r="T14" s="132">
        <f t="shared" si="3"/>
        <v>3379.8387269736577</v>
      </c>
      <c r="U14" s="172">
        <f t="shared" si="4"/>
        <v>3411.4517673542773</v>
      </c>
      <c r="V14" s="175"/>
      <c r="W14" s="175"/>
    </row>
    <row r="15" spans="1:25" hidden="1" outlineLevel="1" x14ac:dyDescent="0.3">
      <c r="A15" s="98" t="s">
        <v>10</v>
      </c>
      <c r="B15" s="176" t="s">
        <v>82</v>
      </c>
      <c r="C15" s="176" t="s">
        <v>82</v>
      </c>
      <c r="D15" s="176" t="s">
        <v>437</v>
      </c>
      <c r="E15" s="180">
        <v>393</v>
      </c>
      <c r="F15" s="132">
        <f>VLOOKUP(A15,Iedz_sk!$B$5:$Y$123,15,FALSE)</f>
        <v>3042</v>
      </c>
      <c r="G15" s="132">
        <f>VLOOKUP(A15,Iedz_sk!$B$5:$Y$123,16,FALSE)</f>
        <v>2970</v>
      </c>
      <c r="H15" s="132">
        <f>VLOOKUP(A15,Iedz_sk!$B$5:$Y$123,17,FALSE)</f>
        <v>2897</v>
      </c>
      <c r="I15" s="172">
        <f>VLOOKUP(A15,Iedz_sk!$B$5:$Y$123,24,FALSE)</f>
        <v>2391</v>
      </c>
      <c r="J15" s="133">
        <f>VLOOKUP($A15,IKP!$Q$6:$AC$124,11,FALSE)</f>
        <v>20003.89150818995</v>
      </c>
      <c r="K15" s="133">
        <f>VLOOKUP($A15,IKP!$Q$6:$AC$124,12,FALSE)</f>
        <v>21008.52163844333</v>
      </c>
      <c r="L15" s="133">
        <f>VLOOKUP($A15,IKP!$Q$6:$AC$124,13,FALSE)</f>
        <v>21782.389328454396</v>
      </c>
      <c r="M15" s="172">
        <f>VLOOKUP($A15,IKP!$Q$6:$AD$124,14,FALSE)</f>
        <v>26157.007071792112</v>
      </c>
      <c r="N15" s="132">
        <f>((-0.0000000006)*IKP!$J$5 + 0.0461)*J15</f>
        <v>549.20616112502444</v>
      </c>
      <c r="O15" s="132">
        <f>((-0.0000000006)*IKP!$K$5 + 0.0461)*K15</f>
        <v>556.81131257116215</v>
      </c>
      <c r="P15" s="132">
        <f>((-0.0000000006)*IKP!$L$5 + 0.0461)*L15</f>
        <v>561.10180010646479</v>
      </c>
      <c r="Q15" s="172">
        <f>((-0.0000000006)*IKP!$M$5 + 0.0461)*M15</f>
        <v>562.0592283777429</v>
      </c>
      <c r="R15" s="132">
        <f t="shared" si="1"/>
        <v>131.80947867000586</v>
      </c>
      <c r="S15" s="132">
        <f t="shared" si="2"/>
        <v>133.63471501707892</v>
      </c>
      <c r="T15" s="132">
        <f t="shared" si="3"/>
        <v>134.66443202555155</v>
      </c>
      <c r="U15" s="172">
        <f t="shared" si="4"/>
        <v>134.8942148106583</v>
      </c>
      <c r="V15" s="175"/>
      <c r="W15" s="175"/>
    </row>
    <row r="16" spans="1:25" hidden="1" outlineLevel="1" x14ac:dyDescent="0.3">
      <c r="A16" s="98" t="s">
        <v>11</v>
      </c>
      <c r="B16" s="176" t="s">
        <v>11</v>
      </c>
      <c r="C16" s="176" t="s">
        <v>11</v>
      </c>
      <c r="D16" s="176" t="s">
        <v>438</v>
      </c>
      <c r="E16" s="180">
        <v>102</v>
      </c>
      <c r="F16" s="132">
        <f>VLOOKUP(A16,Iedz_sk!$B$5:$Y$123,15,FALSE)</f>
        <v>8017</v>
      </c>
      <c r="G16" s="132">
        <f>VLOOKUP(A16,Iedz_sk!$B$5:$Y$123,16,FALSE)</f>
        <v>7873</v>
      </c>
      <c r="H16" s="132">
        <f>VLOOKUP(A16,Iedz_sk!$B$5:$Y$123,17,FALSE)</f>
        <v>7729</v>
      </c>
      <c r="I16" s="172">
        <f>VLOOKUP(A16,Iedz_sk!$B$5:$Y$123,24,FALSE)</f>
        <v>6723</v>
      </c>
      <c r="J16" s="133">
        <f>VLOOKUP($A16,IKP!$Q$6:$AC$124,11,FALSE)</f>
        <v>68418.691922067432</v>
      </c>
      <c r="K16" s="133">
        <f>VLOOKUP($A16,IKP!$Q$6:$AC$124,12,FALSE)</f>
        <v>71784.120049151752</v>
      </c>
      <c r="L16" s="133">
        <f>VLOOKUP($A16,IKP!$Q$6:$AC$124,13,FALSE)</f>
        <v>74379.467362873969</v>
      </c>
      <c r="M16" s="172">
        <f>VLOOKUP($A16,IKP!$Q$6:$AD$124,14,FALSE)</f>
        <v>88735.363034668655</v>
      </c>
      <c r="N16" s="132">
        <f>((-0.0000000006)*IKP!$J$5 + 0.0461)*J16</f>
        <v>1878.4328601427428</v>
      </c>
      <c r="O16" s="132">
        <f>((-0.0000000006)*IKP!$K$5 + 0.0461)*K16</f>
        <v>1902.5712896043524</v>
      </c>
      <c r="P16" s="132">
        <f>((-0.0000000006)*IKP!$L$5 + 0.0461)*L16</f>
        <v>1915.9722287100433</v>
      </c>
      <c r="Q16" s="172">
        <f>((-0.0000000006)*IKP!$M$5 + 0.0461)*M16</f>
        <v>1906.7368655823693</v>
      </c>
      <c r="R16" s="132">
        <f t="shared" si="1"/>
        <v>450.82388643425833</v>
      </c>
      <c r="S16" s="132">
        <f t="shared" si="2"/>
        <v>456.61710950504454</v>
      </c>
      <c r="T16" s="132">
        <f t="shared" si="3"/>
        <v>459.83333489041041</v>
      </c>
      <c r="U16" s="172">
        <f t="shared" si="4"/>
        <v>457.61684773976862</v>
      </c>
      <c r="V16" s="175"/>
      <c r="W16" s="175"/>
    </row>
    <row r="17" spans="1:23" hidden="1" outlineLevel="1" x14ac:dyDescent="0.3">
      <c r="A17" s="98" t="s">
        <v>12</v>
      </c>
      <c r="B17" s="176" t="s">
        <v>441</v>
      </c>
      <c r="C17" s="176" t="s">
        <v>441</v>
      </c>
      <c r="D17" s="176" t="s">
        <v>176</v>
      </c>
      <c r="E17" s="180">
        <v>640</v>
      </c>
      <c r="F17" s="132">
        <f>VLOOKUP(A17,Iedz_sk!$B$5:$Y$123,15,FALSE)</f>
        <v>8083</v>
      </c>
      <c r="G17" s="132">
        <f>VLOOKUP(A17,Iedz_sk!$B$5:$Y$123,16,FALSE)</f>
        <v>7946</v>
      </c>
      <c r="H17" s="132">
        <f>VLOOKUP(A17,Iedz_sk!$B$5:$Y$123,17,FALSE)</f>
        <v>7809</v>
      </c>
      <c r="I17" s="172">
        <f>VLOOKUP(A17,Iedz_sk!$B$5:$Y$123,24,FALSE)</f>
        <v>6850</v>
      </c>
      <c r="J17" s="133">
        <f>VLOOKUP($A17,IKP!$Q$6:$AC$124,11,FALSE)</f>
        <v>77444.56019057885</v>
      </c>
      <c r="K17" s="133">
        <f>VLOOKUP($A17,IKP!$Q$6:$AC$124,12,FALSE)</f>
        <v>81467.568075940566</v>
      </c>
      <c r="L17" s="133">
        <f>VLOOKUP($A17,IKP!$Q$6:$AC$124,13,FALSE)</f>
        <v>84641.621598007841</v>
      </c>
      <c r="M17" s="172">
        <f>VLOOKUP($A17,IKP!$Q$6:$AD$124,14,FALSE)</f>
        <v>103207.59680201909</v>
      </c>
      <c r="N17" s="132">
        <f>((-0.0000000006)*IKP!$J$5 + 0.0461)*J17</f>
        <v>2126.2377665300733</v>
      </c>
      <c r="O17" s="132">
        <f>((-0.0000000006)*IKP!$K$5 + 0.0461)*K17</f>
        <v>2159.2220667891875</v>
      </c>
      <c r="P17" s="132">
        <f>((-0.0000000006)*IKP!$L$5 + 0.0461)*L17</f>
        <v>2180.3194097046439</v>
      </c>
      <c r="Q17" s="172">
        <f>((-0.0000000006)*IKP!$M$5 + 0.0461)*M17</f>
        <v>2217.7148196676185</v>
      </c>
      <c r="R17" s="132">
        <f t="shared" si="1"/>
        <v>510.29706396721758</v>
      </c>
      <c r="S17" s="132">
        <f t="shared" si="2"/>
        <v>518.213296029405</v>
      </c>
      <c r="T17" s="132">
        <f t="shared" si="3"/>
        <v>523.27665832911453</v>
      </c>
      <c r="U17" s="172">
        <f t="shared" si="4"/>
        <v>532.25155672022845</v>
      </c>
      <c r="V17" s="175"/>
      <c r="W17" s="175"/>
    </row>
    <row r="18" spans="1:23" hidden="1" outlineLevel="1" x14ac:dyDescent="0.3">
      <c r="A18" s="98" t="s">
        <v>13</v>
      </c>
      <c r="B18" s="176" t="s">
        <v>51</v>
      </c>
      <c r="C18" s="176" t="s">
        <v>51</v>
      </c>
      <c r="D18" s="176" t="s">
        <v>437</v>
      </c>
      <c r="E18" s="180">
        <v>285</v>
      </c>
      <c r="F18" s="132">
        <f>VLOOKUP(A18,Iedz_sk!$B$5:$Y$123,15,FALSE)</f>
        <v>2546</v>
      </c>
      <c r="G18" s="132">
        <f>VLOOKUP(A18,Iedz_sk!$B$5:$Y$123,16,FALSE)</f>
        <v>2478</v>
      </c>
      <c r="H18" s="132">
        <f>VLOOKUP(A18,Iedz_sk!$B$5:$Y$123,17,FALSE)</f>
        <v>2410</v>
      </c>
      <c r="I18" s="172">
        <f>VLOOKUP(A18,Iedz_sk!$B$5:$Y$123,24,FALSE)</f>
        <v>1934</v>
      </c>
      <c r="J18" s="133">
        <f>VLOOKUP($A18,IKP!$Q$6:$AC$124,11,FALSE)</f>
        <v>21728.076541547172</v>
      </c>
      <c r="K18" s="133">
        <f>VLOOKUP($A18,IKP!$Q$6:$AC$124,12,FALSE)</f>
        <v>22593.807885405568</v>
      </c>
      <c r="L18" s="133">
        <f>VLOOKUP($A18,IKP!$Q$6:$AC$124,13,FALSE)</f>
        <v>23192.459094905713</v>
      </c>
      <c r="M18" s="172">
        <f>VLOOKUP($A18,IKP!$Q$6:$AD$124,14,FALSE)</f>
        <v>25526.43047881142</v>
      </c>
      <c r="N18" s="132">
        <f>((-0.0000000006)*IKP!$J$5 + 0.0461)*J18</f>
        <v>596.54360258493489</v>
      </c>
      <c r="O18" s="132">
        <f>((-0.0000000006)*IKP!$K$5 + 0.0461)*K18</f>
        <v>598.82784905875587</v>
      </c>
      <c r="P18" s="132">
        <f>((-0.0000000006)*IKP!$L$5 + 0.0461)*L18</f>
        <v>597.42438493869895</v>
      </c>
      <c r="Q18" s="172">
        <f>((-0.0000000006)*IKP!$M$5 + 0.0461)*M18</f>
        <v>548.50945977038555</v>
      </c>
      <c r="R18" s="132">
        <f t="shared" si="1"/>
        <v>143.17046462038437</v>
      </c>
      <c r="S18" s="132">
        <f t="shared" si="2"/>
        <v>143.71868377410141</v>
      </c>
      <c r="T18" s="132">
        <f t="shared" si="3"/>
        <v>143.38185238528774</v>
      </c>
      <c r="U18" s="172">
        <f t="shared" si="4"/>
        <v>131.64227034489252</v>
      </c>
      <c r="V18" s="175"/>
      <c r="W18" s="175"/>
    </row>
    <row r="19" spans="1:23" hidden="1" outlineLevel="1" x14ac:dyDescent="0.3">
      <c r="A19" s="98" t="s">
        <v>14</v>
      </c>
      <c r="B19" s="176" t="s">
        <v>63</v>
      </c>
      <c r="C19" s="176" t="s">
        <v>63</v>
      </c>
      <c r="D19" s="176" t="s">
        <v>439</v>
      </c>
      <c r="E19" s="180">
        <v>631</v>
      </c>
      <c r="F19" s="132">
        <f>VLOOKUP(A19,Iedz_sk!$B$5:$Y$123,15,FALSE)</f>
        <v>4520</v>
      </c>
      <c r="G19" s="132">
        <f>VLOOKUP(A19,Iedz_sk!$B$5:$Y$123,16,FALSE)</f>
        <v>4432</v>
      </c>
      <c r="H19" s="132">
        <f>VLOOKUP(A19,Iedz_sk!$B$5:$Y$123,17,FALSE)</f>
        <v>4345</v>
      </c>
      <c r="I19" s="172">
        <f>VLOOKUP(A19,Iedz_sk!$B$5:$Y$123,24,FALSE)</f>
        <v>3731</v>
      </c>
      <c r="J19" s="133">
        <f>VLOOKUP($A19,IKP!$Q$6:$AC$124,11,FALSE)</f>
        <v>58638.501655615051</v>
      </c>
      <c r="K19" s="133">
        <f>VLOOKUP($A19,IKP!$Q$6:$AC$124,12,FALSE)</f>
        <v>60616.181628571212</v>
      </c>
      <c r="L19" s="133">
        <f>VLOOKUP($A19,IKP!$Q$6:$AC$124,13,FALSE)</f>
        <v>61875.937753305872</v>
      </c>
      <c r="M19" s="172">
        <f>VLOOKUP($A19,IKP!$Q$6:$AD$124,14,FALSE)</f>
        <v>65720.129079877763</v>
      </c>
      <c r="N19" s="132">
        <f>((-0.0000000006)*IKP!$J$5 + 0.0461)*J19</f>
        <v>1609.9180689526627</v>
      </c>
      <c r="O19" s="132">
        <f>((-0.0000000006)*IKP!$K$5 + 0.0461)*K19</f>
        <v>1606.5754762055506</v>
      </c>
      <c r="P19" s="132">
        <f>((-0.0000000006)*IKP!$L$5 + 0.0461)*L19</f>
        <v>1593.8885093428366</v>
      </c>
      <c r="Q19" s="172">
        <f>((-0.0000000006)*IKP!$M$5 + 0.0461)*M19</f>
        <v>1412.1877529083438</v>
      </c>
      <c r="R19" s="132">
        <f t="shared" si="1"/>
        <v>386.38033654863904</v>
      </c>
      <c r="S19" s="132">
        <f t="shared" si="2"/>
        <v>385.57811428933218</v>
      </c>
      <c r="T19" s="132">
        <f t="shared" si="3"/>
        <v>382.53324224228083</v>
      </c>
      <c r="U19" s="172">
        <f t="shared" si="4"/>
        <v>338.92506069800248</v>
      </c>
      <c r="V19" s="175"/>
      <c r="W19" s="175"/>
    </row>
    <row r="20" spans="1:23" hidden="1" outlineLevel="1" x14ac:dyDescent="0.3">
      <c r="A20" s="98" t="s">
        <v>15</v>
      </c>
      <c r="B20" s="176" t="s">
        <v>59</v>
      </c>
      <c r="C20" s="176" t="s">
        <v>59</v>
      </c>
      <c r="D20" s="176" t="s">
        <v>440</v>
      </c>
      <c r="E20" s="180">
        <v>191</v>
      </c>
      <c r="F20" s="132">
        <f>VLOOKUP(A20,Iedz_sk!$B$5:$Y$123,15,FALSE)</f>
        <v>1303</v>
      </c>
      <c r="G20" s="132">
        <f>VLOOKUP(A20,Iedz_sk!$B$5:$Y$123,16,FALSE)</f>
        <v>1278</v>
      </c>
      <c r="H20" s="132">
        <f>VLOOKUP(A20,Iedz_sk!$B$5:$Y$123,17,FALSE)</f>
        <v>1254</v>
      </c>
      <c r="I20" s="172">
        <f>VLOOKUP(A20,Iedz_sk!$B$5:$Y$123,24,FALSE)</f>
        <v>1081</v>
      </c>
      <c r="J20" s="133">
        <f>VLOOKUP($A20,IKP!$Q$6:$AC$124,11,FALSE)</f>
        <v>12484.258558496133</v>
      </c>
      <c r="K20" s="133">
        <f>VLOOKUP($A20,IKP!$Q$6:$AC$124,12,FALSE)</f>
        <v>13102.888497489561</v>
      </c>
      <c r="L20" s="133">
        <f>VLOOKUP($A20,IKP!$Q$6:$AC$124,13,FALSE)</f>
        <v>13592.085220118046</v>
      </c>
      <c r="M20" s="172">
        <f>VLOOKUP($A20,IKP!$Q$6:$AD$124,14,FALSE)</f>
        <v>16287.213451530313</v>
      </c>
      <c r="N20" s="132">
        <f>((-0.0000000006)*IKP!$J$5 + 0.0461)*J20</f>
        <v>342.75489419629906</v>
      </c>
      <c r="O20" s="132">
        <f>((-0.0000000006)*IKP!$K$5 + 0.0461)*K20</f>
        <v>347.27986425328243</v>
      </c>
      <c r="P20" s="132">
        <f>((-0.0000000006)*IKP!$L$5 + 0.0461)*L20</f>
        <v>350.12428477008882</v>
      </c>
      <c r="Q20" s="172">
        <f>((-0.0000000006)*IKP!$M$5 + 0.0461)*M20</f>
        <v>349.97806132272927</v>
      </c>
      <c r="R20" s="132">
        <f t="shared" si="1"/>
        <v>82.261174607111769</v>
      </c>
      <c r="S20" s="132">
        <f t="shared" si="2"/>
        <v>83.347167420787784</v>
      </c>
      <c r="T20" s="132">
        <f t="shared" si="3"/>
        <v>84.029828344821311</v>
      </c>
      <c r="U20" s="172">
        <f t="shared" si="4"/>
        <v>83.994734717455017</v>
      </c>
      <c r="V20" s="175"/>
      <c r="W20" s="175"/>
    </row>
    <row r="21" spans="1:23" hidden="1" outlineLevel="1" x14ac:dyDescent="0.3">
      <c r="A21" s="98" t="s">
        <v>16</v>
      </c>
      <c r="B21" s="176" t="s">
        <v>16</v>
      </c>
      <c r="C21" s="176" t="s">
        <v>16</v>
      </c>
      <c r="D21" s="176" t="s">
        <v>439</v>
      </c>
      <c r="E21" s="180">
        <v>1698</v>
      </c>
      <c r="F21" s="132">
        <f>VLOOKUP(A21,Iedz_sk!$B$5:$Y$123,15,FALSE)</f>
        <v>13861</v>
      </c>
      <c r="G21" s="132">
        <f>VLOOKUP(A21,Iedz_sk!$B$5:$Y$123,16,FALSE)</f>
        <v>13430</v>
      </c>
      <c r="H21" s="132">
        <f>VLOOKUP(A21,Iedz_sk!$B$5:$Y$123,17,FALSE)</f>
        <v>12998</v>
      </c>
      <c r="I21" s="172">
        <f>VLOOKUP(A21,Iedz_sk!$B$5:$Y$123,24,FALSE)</f>
        <v>9979</v>
      </c>
      <c r="J21" s="133">
        <f>VLOOKUP($A21,IKP!$Q$6:$AC$124,11,FALSE)</f>
        <v>130893.41369186182</v>
      </c>
      <c r="K21" s="133">
        <f>VLOOKUP($A21,IKP!$Q$6:$AC$124,12,FALSE)</f>
        <v>136451.99055149566</v>
      </c>
      <c r="L21" s="133">
        <f>VLOOKUP($A21,IKP!$Q$6:$AC$124,13,FALSE)</f>
        <v>140408.77439595995</v>
      </c>
      <c r="M21" s="172">
        <f>VLOOKUP($A21,IKP!$Q$6:$AD$124,14,FALSE)</f>
        <v>157135.95206718461</v>
      </c>
      <c r="N21" s="132">
        <f>((-0.0000000006)*IKP!$J$5 + 0.0461)*J21</f>
        <v>3593.6742218795339</v>
      </c>
      <c r="O21" s="132">
        <f>((-0.0000000006)*IKP!$K$5 + 0.0461)*K21</f>
        <v>3616.5330083433641</v>
      </c>
      <c r="P21" s="132">
        <f>((-0.0000000006)*IKP!$L$5 + 0.0461)*L21</f>
        <v>3616.8491379134598</v>
      </c>
      <c r="Q21" s="172">
        <f>((-0.0000000006)*IKP!$M$5 + 0.0461)*M21</f>
        <v>3376.5220817074419</v>
      </c>
      <c r="R21" s="132">
        <f t="shared" si="1"/>
        <v>862.48181325108817</v>
      </c>
      <c r="S21" s="132">
        <f t="shared" si="2"/>
        <v>867.96792200240748</v>
      </c>
      <c r="T21" s="132">
        <f t="shared" si="3"/>
        <v>868.04379309923036</v>
      </c>
      <c r="U21" s="172">
        <f t="shared" si="4"/>
        <v>810.36529960978601</v>
      </c>
      <c r="V21" s="175"/>
      <c r="W21" s="175"/>
    </row>
    <row r="22" spans="1:23" hidden="1" outlineLevel="1" x14ac:dyDescent="0.3">
      <c r="A22" s="98" t="s">
        <v>17</v>
      </c>
      <c r="B22" s="176" t="s">
        <v>31</v>
      </c>
      <c r="C22" s="176" t="s">
        <v>31</v>
      </c>
      <c r="D22" s="176" t="s">
        <v>439</v>
      </c>
      <c r="E22" s="180">
        <v>745</v>
      </c>
      <c r="F22" s="132">
        <f>VLOOKUP(A22,Iedz_sk!$B$5:$Y$123,15,FALSE)</f>
        <v>5042</v>
      </c>
      <c r="G22" s="132">
        <f>VLOOKUP(A22,Iedz_sk!$B$5:$Y$123,16,FALSE)</f>
        <v>4900</v>
      </c>
      <c r="H22" s="132">
        <f>VLOOKUP(A22,Iedz_sk!$B$5:$Y$123,17,FALSE)</f>
        <v>4758</v>
      </c>
      <c r="I22" s="172">
        <f>VLOOKUP(A22,Iedz_sk!$B$5:$Y$123,24,FALSE)</f>
        <v>3764</v>
      </c>
      <c r="J22" s="133">
        <f>VLOOKUP($A22,IKP!$Q$6:$AC$124,11,FALSE)</f>
        <v>47613.0576317991</v>
      </c>
      <c r="K22" s="133">
        <f>VLOOKUP($A22,IKP!$Q$6:$AC$124,12,FALSE)</f>
        <v>49785.164088036385</v>
      </c>
      <c r="L22" s="133">
        <f>VLOOKUP($A22,IKP!$Q$6:$AC$124,13,FALSE)</f>
        <v>51397.518739496656</v>
      </c>
      <c r="M22" s="172">
        <f>VLOOKUP($A22,IKP!$Q$6:$AD$124,14,FALSE)</f>
        <v>59270.440282681928</v>
      </c>
      <c r="N22" s="132">
        <f>((-0.0000000006)*IKP!$J$5 + 0.0461)*J22</f>
        <v>1307.2148781990197</v>
      </c>
      <c r="O22" s="132">
        <f>((-0.0000000006)*IKP!$K$5 + 0.0461)*K22</f>
        <v>1319.5094371468713</v>
      </c>
      <c r="P22" s="132">
        <f>((-0.0000000006)*IKP!$L$5 + 0.0461)*L22</f>
        <v>1323.9704722412866</v>
      </c>
      <c r="Q22" s="172">
        <f>((-0.0000000006)*IKP!$M$5 + 0.0461)*M22</f>
        <v>1273.5974662337721</v>
      </c>
      <c r="R22" s="132">
        <f t="shared" si="1"/>
        <v>313.73157076776471</v>
      </c>
      <c r="S22" s="132">
        <f t="shared" si="2"/>
        <v>316.68226491524911</v>
      </c>
      <c r="T22" s="132">
        <f t="shared" si="3"/>
        <v>317.75291333790881</v>
      </c>
      <c r="U22" s="172">
        <f t="shared" si="4"/>
        <v>305.66339189610534</v>
      </c>
      <c r="V22" s="175"/>
      <c r="W22" s="175"/>
    </row>
    <row r="23" spans="1:23" hidden="1" outlineLevel="1" x14ac:dyDescent="0.3">
      <c r="A23" s="98" t="s">
        <v>18</v>
      </c>
      <c r="B23" s="176" t="s">
        <v>103</v>
      </c>
      <c r="C23" s="176" t="s">
        <v>103</v>
      </c>
      <c r="D23" s="176" t="s">
        <v>439</v>
      </c>
      <c r="E23" s="180">
        <v>545</v>
      </c>
      <c r="F23" s="132">
        <f>VLOOKUP(A23,Iedz_sk!$B$5:$Y$123,15,FALSE)</f>
        <v>3205</v>
      </c>
      <c r="G23" s="132">
        <f>VLOOKUP(A23,Iedz_sk!$B$5:$Y$123,16,FALSE)</f>
        <v>3124</v>
      </c>
      <c r="H23" s="132">
        <f>VLOOKUP(A23,Iedz_sk!$B$5:$Y$123,17,FALSE)</f>
        <v>3043</v>
      </c>
      <c r="I23" s="172">
        <f>VLOOKUP(A23,Iedz_sk!$B$5:$Y$123,24,FALSE)</f>
        <v>2476</v>
      </c>
      <c r="J23" s="133">
        <f>VLOOKUP($A23,IKP!$Q$6:$AC$124,11,FALSE)</f>
        <v>30265.737744925846</v>
      </c>
      <c r="K23" s="133">
        <f>VLOOKUP($A23,IKP!$Q$6:$AC$124,12,FALSE)</f>
        <v>31740.582165515443</v>
      </c>
      <c r="L23" s="133">
        <f>VLOOKUP($A23,IKP!$Q$6:$AC$124,13,FALSE)</f>
        <v>32871.511039152654</v>
      </c>
      <c r="M23" s="172">
        <f>VLOOKUP($A23,IKP!$Q$6:$AD$124,14,FALSE)</f>
        <v>38988.73808180671</v>
      </c>
      <c r="N23" s="132">
        <f>((-0.0000000006)*IKP!$J$5 + 0.0461)*J23</f>
        <v>830.94480060052717</v>
      </c>
      <c r="O23" s="132">
        <f>((-0.0000000006)*IKP!$K$5 + 0.0461)*K23</f>
        <v>841.25458809118902</v>
      </c>
      <c r="P23" s="132">
        <f>((-0.0000000006)*IKP!$L$5 + 0.0461)*L23</f>
        <v>846.75118684956612</v>
      </c>
      <c r="Q23" s="172">
        <f>((-0.0000000006)*IKP!$M$5 + 0.0461)*M23</f>
        <v>837.78621848959096</v>
      </c>
      <c r="R23" s="132">
        <f t="shared" si="1"/>
        <v>199.42675214412651</v>
      </c>
      <c r="S23" s="132">
        <f t="shared" si="2"/>
        <v>201.90110114188539</v>
      </c>
      <c r="T23" s="132">
        <f t="shared" si="3"/>
        <v>203.22028484389588</v>
      </c>
      <c r="U23" s="172">
        <f t="shared" si="4"/>
        <v>201.06869243750185</v>
      </c>
      <c r="V23" s="175"/>
      <c r="W23" s="175"/>
    </row>
    <row r="24" spans="1:23" hidden="1" outlineLevel="1" x14ac:dyDescent="0.3">
      <c r="A24" s="98" t="s">
        <v>19</v>
      </c>
      <c r="B24" s="176" t="s">
        <v>35</v>
      </c>
      <c r="C24" s="176" t="s">
        <v>35</v>
      </c>
      <c r="D24" s="176" t="s">
        <v>438</v>
      </c>
      <c r="E24" s="180">
        <v>517</v>
      </c>
      <c r="F24" s="132">
        <f>VLOOKUP(A24,Iedz_sk!$B$5:$Y$123,15,FALSE)</f>
        <v>6025</v>
      </c>
      <c r="G24" s="132">
        <f>VLOOKUP(A24,Iedz_sk!$B$5:$Y$123,16,FALSE)</f>
        <v>5878</v>
      </c>
      <c r="H24" s="132">
        <f>VLOOKUP(A24,Iedz_sk!$B$5:$Y$123,17,FALSE)</f>
        <v>5732</v>
      </c>
      <c r="I24" s="172">
        <f>VLOOKUP(A24,Iedz_sk!$B$5:$Y$123,24,FALSE)</f>
        <v>4706</v>
      </c>
      <c r="J24" s="133">
        <f>VLOOKUP($A24,IKP!$Q$6:$AC$124,11,FALSE)</f>
        <v>51418.562907628322</v>
      </c>
      <c r="K24" s="133">
        <f>VLOOKUP($A24,IKP!$Q$6:$AC$124,12,FALSE)</f>
        <v>53594.189971918451</v>
      </c>
      <c r="L24" s="133">
        <f>VLOOKUP($A24,IKP!$Q$6:$AC$124,13,FALSE)</f>
        <v>55161.48362323633</v>
      </c>
      <c r="M24" s="172">
        <f>VLOOKUP($A24,IKP!$Q$6:$AD$124,14,FALSE)</f>
        <v>62113.434246787256</v>
      </c>
      <c r="N24" s="132">
        <f>((-0.0000000006)*IKP!$J$5 + 0.0461)*J24</f>
        <v>1411.694896140704</v>
      </c>
      <c r="O24" s="132">
        <f>((-0.0000000006)*IKP!$K$5 + 0.0461)*K24</f>
        <v>1420.4641229892522</v>
      </c>
      <c r="P24" s="132">
        <f>((-0.0000000006)*IKP!$L$5 + 0.0461)*L24</f>
        <v>1420.9280391985985</v>
      </c>
      <c r="Q24" s="172">
        <f>((-0.0000000006)*IKP!$M$5 + 0.0461)*M24</f>
        <v>1334.6874445084977</v>
      </c>
      <c r="R24" s="132">
        <f t="shared" si="1"/>
        <v>338.80677507376896</v>
      </c>
      <c r="S24" s="132">
        <f t="shared" si="2"/>
        <v>340.9113895174205</v>
      </c>
      <c r="T24" s="132">
        <f t="shared" si="3"/>
        <v>341.02272940766363</v>
      </c>
      <c r="U24" s="172">
        <f t="shared" si="4"/>
        <v>320.32498668203948</v>
      </c>
      <c r="V24" s="175"/>
      <c r="W24" s="175"/>
    </row>
    <row r="25" spans="1:23" hidden="1" outlineLevel="1" x14ac:dyDescent="0.3">
      <c r="A25" s="98" t="s">
        <v>20</v>
      </c>
      <c r="B25" s="176" t="s">
        <v>20</v>
      </c>
      <c r="C25" s="176" t="s">
        <v>20</v>
      </c>
      <c r="D25" s="176" t="s">
        <v>438</v>
      </c>
      <c r="E25" s="180">
        <v>163</v>
      </c>
      <c r="F25" s="132">
        <f>VLOOKUP(A25,Iedz_sk!$B$5:$Y$123,15,FALSE)</f>
        <v>11824</v>
      </c>
      <c r="G25" s="132">
        <f>VLOOKUP(A25,Iedz_sk!$B$5:$Y$123,16,FALSE)</f>
        <v>12051</v>
      </c>
      <c r="H25" s="132">
        <f>VLOOKUP(A25,Iedz_sk!$B$5:$Y$123,17,FALSE)</f>
        <v>12277</v>
      </c>
      <c r="I25" s="172">
        <f>VLOOKUP(A25,Iedz_sk!$B$5:$Y$123,24,FALSE)</f>
        <v>13864</v>
      </c>
      <c r="J25" s="133">
        <f>VLOOKUP($A25,IKP!$Q$6:$AC$124,11,FALSE)</f>
        <v>153394.16893274165</v>
      </c>
      <c r="K25" s="133">
        <f>VLOOKUP($A25,IKP!$Q$6:$AC$124,12,FALSE)</f>
        <v>164820.75920711004</v>
      </c>
      <c r="L25" s="133">
        <f>VLOOKUP($A25,IKP!$Q$6:$AC$124,13,FALSE)</f>
        <v>174833.34586820166</v>
      </c>
      <c r="M25" s="172">
        <f>VLOOKUP($A25,IKP!$Q$6:$AD$124,14,FALSE)</f>
        <v>244209.02427323113</v>
      </c>
      <c r="N25" s="132">
        <f>((-0.0000000006)*IKP!$J$5 + 0.0461)*J25</f>
        <v>4211.4316918797085</v>
      </c>
      <c r="O25" s="132">
        <f>((-0.0000000006)*IKP!$K$5 + 0.0461)*K25</f>
        <v>4368.4208176338198</v>
      </c>
      <c r="P25" s="132">
        <f>((-0.0000000006)*IKP!$L$5 + 0.0461)*L25</f>
        <v>4503.606266789875</v>
      </c>
      <c r="Q25" s="172">
        <f>((-0.0000000006)*IKP!$M$5 + 0.0461)*M25</f>
        <v>5247.5398033560114</v>
      </c>
      <c r="R25" s="132">
        <f t="shared" si="1"/>
        <v>1010.7436060511301</v>
      </c>
      <c r="S25" s="132">
        <f t="shared" si="2"/>
        <v>1048.4209962321167</v>
      </c>
      <c r="T25" s="132">
        <f t="shared" si="3"/>
        <v>1080.86550402957</v>
      </c>
      <c r="U25" s="172">
        <f t="shared" si="4"/>
        <v>1259.4095528054427</v>
      </c>
      <c r="V25" s="175"/>
      <c r="W25" s="175"/>
    </row>
    <row r="26" spans="1:23" hidden="1" outlineLevel="1" x14ac:dyDescent="0.3">
      <c r="A26" s="98" t="s">
        <v>21</v>
      </c>
      <c r="B26" s="176" t="s">
        <v>71</v>
      </c>
      <c r="C26" s="176" t="s">
        <v>71</v>
      </c>
      <c r="D26" s="176" t="s">
        <v>438</v>
      </c>
      <c r="E26" s="180">
        <v>243</v>
      </c>
      <c r="F26" s="132">
        <f>VLOOKUP(A26,Iedz_sk!$B$5:$Y$123,15,FALSE)</f>
        <v>11247</v>
      </c>
      <c r="G26" s="132">
        <f>VLOOKUP(A26,Iedz_sk!$B$5:$Y$123,16,FALSE)</f>
        <v>11352</v>
      </c>
      <c r="H26" s="132">
        <f>VLOOKUP(A26,Iedz_sk!$B$5:$Y$123,17,FALSE)</f>
        <v>11457</v>
      </c>
      <c r="I26" s="172">
        <f>VLOOKUP(A26,Iedz_sk!$B$5:$Y$123,24,FALSE)</f>
        <v>12192</v>
      </c>
      <c r="J26" s="133">
        <f>VLOOKUP($A26,IKP!$Q$6:$AC$124,11,FALSE)</f>
        <v>145908.67878776602</v>
      </c>
      <c r="K26" s="133">
        <f>VLOOKUP($A26,IKP!$Q$6:$AC$124,12,FALSE)</f>
        <v>155260.58074177356</v>
      </c>
      <c r="L26" s="133">
        <f>VLOOKUP($A26,IKP!$Q$6:$AC$124,13,FALSE)</f>
        <v>163155.95370302079</v>
      </c>
      <c r="M26" s="172">
        <f>VLOOKUP($A26,IKP!$Q$6:$AD$124,14,FALSE)</f>
        <v>214757.38776249523</v>
      </c>
      <c r="N26" s="132">
        <f>((-0.0000000006)*IKP!$J$5 + 0.0461)*J26</f>
        <v>4005.9178144934945</v>
      </c>
      <c r="O26" s="132">
        <f>((-0.0000000006)*IKP!$K$5 + 0.0461)*K26</f>
        <v>4115.0371854434588</v>
      </c>
      <c r="P26" s="132">
        <f>((-0.0000000006)*IKP!$L$5 + 0.0461)*L26</f>
        <v>4202.8033720462317</v>
      </c>
      <c r="Q26" s="172">
        <f>((-0.0000000006)*IKP!$M$5 + 0.0461)*M26</f>
        <v>4614.6858974694524</v>
      </c>
      <c r="R26" s="132">
        <f t="shared" si="1"/>
        <v>961.42027547843873</v>
      </c>
      <c r="S26" s="132">
        <f t="shared" si="2"/>
        <v>987.60892450643018</v>
      </c>
      <c r="T26" s="132">
        <f t="shared" si="3"/>
        <v>1008.6728092910956</v>
      </c>
      <c r="U26" s="172">
        <f t="shared" si="4"/>
        <v>1107.5246153926687</v>
      </c>
      <c r="V26" s="175"/>
      <c r="W26" s="175"/>
    </row>
    <row r="27" spans="1:23" hidden="1" outlineLevel="1" x14ac:dyDescent="0.3">
      <c r="A27" s="98" t="s">
        <v>22</v>
      </c>
      <c r="B27" s="176" t="s">
        <v>61</v>
      </c>
      <c r="C27" s="176" t="s">
        <v>61</v>
      </c>
      <c r="D27" s="176" t="s">
        <v>438</v>
      </c>
      <c r="E27" s="180">
        <v>179</v>
      </c>
      <c r="F27" s="132">
        <f>VLOOKUP(A27,Iedz_sk!$B$5:$Y$123,15,FALSE)</f>
        <v>5446</v>
      </c>
      <c r="G27" s="132">
        <f>VLOOKUP(A27,Iedz_sk!$B$5:$Y$123,16,FALSE)</f>
        <v>5471</v>
      </c>
      <c r="H27" s="132">
        <f>VLOOKUP(A27,Iedz_sk!$B$5:$Y$123,17,FALSE)</f>
        <v>5496</v>
      </c>
      <c r="I27" s="172">
        <f>VLOOKUP(A27,Iedz_sk!$B$5:$Y$123,24,FALSE)</f>
        <v>5673</v>
      </c>
      <c r="J27" s="133">
        <f>VLOOKUP($A27,IKP!$Q$6:$AC$124,11,FALSE)</f>
        <v>70651.610623114946</v>
      </c>
      <c r="K27" s="133">
        <f>VLOOKUP($A27,IKP!$Q$6:$AC$124,12,FALSE)</f>
        <v>74826.518431839606</v>
      </c>
      <c r="L27" s="133">
        <f>VLOOKUP($A27,IKP!$Q$6:$AC$124,13,FALSE)</f>
        <v>78267.008951017051</v>
      </c>
      <c r="M27" s="172">
        <f>VLOOKUP($A27,IKP!$Q$6:$AD$124,14,FALSE)</f>
        <v>99927.711677873638</v>
      </c>
      <c r="N27" s="132">
        <f>((-0.0000000006)*IKP!$J$5 + 0.0461)*J27</f>
        <v>1939.7375671496018</v>
      </c>
      <c r="O27" s="132">
        <f>((-0.0000000006)*IKP!$K$5 + 0.0461)*K27</f>
        <v>1983.2072270578899</v>
      </c>
      <c r="P27" s="132">
        <f>((-0.0000000006)*IKP!$L$5 + 0.0461)*L27</f>
        <v>2016.1130603793395</v>
      </c>
      <c r="Q27" s="172">
        <f>((-0.0000000006)*IKP!$M$5 + 0.0461)*M27</f>
        <v>2147.2369665636652</v>
      </c>
      <c r="R27" s="132">
        <f t="shared" si="1"/>
        <v>465.53701611590441</v>
      </c>
      <c r="S27" s="132">
        <f t="shared" si="2"/>
        <v>475.96973449389355</v>
      </c>
      <c r="T27" s="132">
        <f t="shared" si="3"/>
        <v>483.8671344910415</v>
      </c>
      <c r="U27" s="172">
        <f t="shared" si="4"/>
        <v>515.33687197527968</v>
      </c>
      <c r="V27" s="175"/>
      <c r="W27" s="175"/>
    </row>
    <row r="28" spans="1:23" hidden="1" outlineLevel="1" x14ac:dyDescent="0.3">
      <c r="A28" s="98" t="s">
        <v>23</v>
      </c>
      <c r="B28" s="176" t="s">
        <v>24</v>
      </c>
      <c r="C28" s="176" t="s">
        <v>24</v>
      </c>
      <c r="D28" s="176" t="s">
        <v>439</v>
      </c>
      <c r="E28" s="180">
        <v>186</v>
      </c>
      <c r="F28" s="132">
        <f>VLOOKUP(A28,Iedz_sk!$B$5:$Y$123,15,FALSE)</f>
        <v>937</v>
      </c>
      <c r="G28" s="132">
        <f>VLOOKUP(A28,Iedz_sk!$B$5:$Y$123,16,FALSE)</f>
        <v>915</v>
      </c>
      <c r="H28" s="132">
        <f>VLOOKUP(A28,Iedz_sk!$B$5:$Y$123,17,FALSE)</f>
        <v>893</v>
      </c>
      <c r="I28" s="172">
        <f>VLOOKUP(A28,Iedz_sk!$B$5:$Y$123,24,FALSE)</f>
        <v>738</v>
      </c>
      <c r="J28" s="133">
        <f>VLOOKUP($A28,IKP!$Q$6:$AC$124,11,FALSE)</f>
        <v>6161.6194422005201</v>
      </c>
      <c r="K28" s="133">
        <f>VLOOKUP($A28,IKP!$Q$6:$AC$124,12,FALSE)</f>
        <v>6472.322322954763</v>
      </c>
      <c r="L28" s="133">
        <f>VLOOKUP($A28,IKP!$Q$6:$AC$124,13,FALSE)</f>
        <v>6714.4196307593284</v>
      </c>
      <c r="M28" s="172">
        <f>VLOOKUP($A28,IKP!$Q$6:$AD$124,14,FALSE)</f>
        <v>8073.5555077300614</v>
      </c>
      <c r="N28" s="132">
        <f>((-0.0000000006)*IKP!$J$5 + 0.0461)*J28</f>
        <v>169.16705225974616</v>
      </c>
      <c r="O28" s="132">
        <f>((-0.0000000006)*IKP!$K$5 + 0.0461)*K28</f>
        <v>171.54287912545905</v>
      </c>
      <c r="P28" s="132">
        <f>((-0.0000000006)*IKP!$L$5 + 0.0461)*L28</f>
        <v>172.95958146188229</v>
      </c>
      <c r="Q28" s="172">
        <f>((-0.0000000006)*IKP!$M$5 + 0.0461)*M28</f>
        <v>173.48377688949154</v>
      </c>
      <c r="R28" s="132">
        <f t="shared" si="1"/>
        <v>40.600092542339077</v>
      </c>
      <c r="S28" s="132">
        <f t="shared" si="2"/>
        <v>41.170290990110175</v>
      </c>
      <c r="T28" s="132">
        <f t="shared" si="3"/>
        <v>41.510299550851748</v>
      </c>
      <c r="U28" s="172">
        <f t="shared" si="4"/>
        <v>41.636106453477964</v>
      </c>
      <c r="V28" s="175"/>
      <c r="W28" s="175"/>
    </row>
    <row r="29" spans="1:23" hidden="1" outlineLevel="1" x14ac:dyDescent="0.3">
      <c r="A29" s="98" t="s">
        <v>24</v>
      </c>
      <c r="B29" s="176" t="s">
        <v>24</v>
      </c>
      <c r="C29" s="176" t="s">
        <v>24</v>
      </c>
      <c r="D29" s="176" t="s">
        <v>439</v>
      </c>
      <c r="E29" s="180">
        <v>1045</v>
      </c>
      <c r="F29" s="132">
        <f>VLOOKUP(A29,Iedz_sk!$B$5:$Y$123,15,FALSE)</f>
        <v>11576</v>
      </c>
      <c r="G29" s="132">
        <f>VLOOKUP(A29,Iedz_sk!$B$5:$Y$123,16,FALSE)</f>
        <v>11292</v>
      </c>
      <c r="H29" s="132">
        <f>VLOOKUP(A29,Iedz_sk!$B$5:$Y$123,17,FALSE)</f>
        <v>11008</v>
      </c>
      <c r="I29" s="172">
        <f>VLOOKUP(A29,Iedz_sk!$B$5:$Y$123,24,FALSE)</f>
        <v>9018</v>
      </c>
      <c r="J29" s="133">
        <f>VLOOKUP($A29,IKP!$Q$6:$AC$124,11,FALSE)</f>
        <v>76122.632511113363</v>
      </c>
      <c r="K29" s="133">
        <f>VLOOKUP($A29,IKP!$Q$6:$AC$124,12,FALSE)</f>
        <v>79874.823683940092</v>
      </c>
      <c r="L29" s="133">
        <f>VLOOKUP($A29,IKP!$Q$6:$AC$124,13,FALSE)</f>
        <v>82768.568079953737</v>
      </c>
      <c r="M29" s="172">
        <f>VLOOKUP($A29,IKP!$Q$6:$AD$124,14,FALSE)</f>
        <v>98654.909984701488</v>
      </c>
      <c r="N29" s="132">
        <f>((-0.0000000006)*IKP!$J$5 + 0.0461)*J29</f>
        <v>2089.9442870424991</v>
      </c>
      <c r="O29" s="132">
        <f>((-0.0000000006)*IKP!$K$5 + 0.0461)*K29</f>
        <v>2117.0078591089436</v>
      </c>
      <c r="P29" s="132">
        <f>((-0.0000000006)*IKP!$L$5 + 0.0461)*L29</f>
        <v>2132.0706301594628</v>
      </c>
      <c r="Q29" s="172">
        <f>((-0.0000000006)*IKP!$M$5 + 0.0461)*M29</f>
        <v>2119.8871273569575</v>
      </c>
      <c r="R29" s="132">
        <f t="shared" si="1"/>
        <v>501.58662889019979</v>
      </c>
      <c r="S29" s="132">
        <f t="shared" si="2"/>
        <v>508.08188618614651</v>
      </c>
      <c r="T29" s="132">
        <f t="shared" si="3"/>
        <v>511.69695123827108</v>
      </c>
      <c r="U29" s="172">
        <f t="shared" si="4"/>
        <v>508.7729105656698</v>
      </c>
      <c r="V29" s="175"/>
      <c r="W29" s="175"/>
    </row>
    <row r="30" spans="1:23" hidden="1" outlineLevel="1" x14ac:dyDescent="0.3">
      <c r="A30" s="98" t="s">
        <v>25</v>
      </c>
      <c r="B30" s="176" t="s">
        <v>25</v>
      </c>
      <c r="C30" s="176" t="s">
        <v>25</v>
      </c>
      <c r="D30" s="176" t="s">
        <v>438</v>
      </c>
      <c r="E30" s="180">
        <v>786</v>
      </c>
      <c r="F30" s="132">
        <f>VLOOKUP(A30,Iedz_sk!$B$5:$Y$123,15,FALSE)</f>
        <v>22259</v>
      </c>
      <c r="G30" s="132">
        <f>VLOOKUP(A30,Iedz_sk!$B$5:$Y$123,16,FALSE)</f>
        <v>21899</v>
      </c>
      <c r="H30" s="132">
        <f>VLOOKUP(A30,Iedz_sk!$B$5:$Y$123,17,FALSE)</f>
        <v>21539</v>
      </c>
      <c r="I30" s="172">
        <f>VLOOKUP(A30,Iedz_sk!$B$5:$Y$123,24,FALSE)</f>
        <v>19017</v>
      </c>
      <c r="J30" s="133">
        <f>VLOOKUP($A30,IKP!$Q$6:$AC$124,11,FALSE)</f>
        <v>189962.78701425708</v>
      </c>
      <c r="K30" s="133">
        <f>VLOOKUP($A30,IKP!$Q$6:$AC$124,12,FALSE)</f>
        <v>199669.81391545461</v>
      </c>
      <c r="L30" s="133">
        <f>VLOOKUP($A30,IKP!$Q$6:$AC$124,13,FALSE)</f>
        <v>207278.99437559093</v>
      </c>
      <c r="M30" s="172">
        <f>VLOOKUP($A30,IKP!$Q$6:$AD$124,14,FALSE)</f>
        <v>251001.10052510691</v>
      </c>
      <c r="N30" s="132">
        <f>((-0.0000000006)*IKP!$J$5 + 0.0461)*J30</f>
        <v>5215.4218577918564</v>
      </c>
      <c r="O30" s="132">
        <f>((-0.0000000006)*IKP!$K$5 + 0.0461)*K30</f>
        <v>5292.0625772952762</v>
      </c>
      <c r="P30" s="132">
        <f>((-0.0000000006)*IKP!$L$5 + 0.0461)*L30</f>
        <v>5339.3874801637494</v>
      </c>
      <c r="Q30" s="172">
        <f>((-0.0000000006)*IKP!$M$5 + 0.0461)*M30</f>
        <v>5393.4872784143854</v>
      </c>
      <c r="R30" s="132">
        <f t="shared" si="1"/>
        <v>1251.7012458700453</v>
      </c>
      <c r="S30" s="132">
        <f t="shared" si="2"/>
        <v>1270.0950185508664</v>
      </c>
      <c r="T30" s="132">
        <f t="shared" si="3"/>
        <v>1281.4529952392998</v>
      </c>
      <c r="U30" s="172">
        <f t="shared" si="4"/>
        <v>1294.4369468194525</v>
      </c>
      <c r="V30" s="175"/>
      <c r="W30" s="175"/>
    </row>
    <row r="31" spans="1:23" hidden="1" outlineLevel="1" x14ac:dyDescent="0.3">
      <c r="A31" s="98" t="s">
        <v>26</v>
      </c>
      <c r="B31" s="176" t="s">
        <v>442</v>
      </c>
      <c r="C31" s="176" t="s">
        <v>442</v>
      </c>
      <c r="D31" s="176" t="s">
        <v>439</v>
      </c>
      <c r="E31" s="180">
        <v>301</v>
      </c>
      <c r="F31" s="132">
        <f>VLOOKUP(A31,Iedz_sk!$B$5:$Y$123,15,FALSE)</f>
        <v>2948</v>
      </c>
      <c r="G31" s="132">
        <f>VLOOKUP(A31,Iedz_sk!$B$5:$Y$123,16,FALSE)</f>
        <v>2895</v>
      </c>
      <c r="H31" s="132">
        <f>VLOOKUP(A31,Iedz_sk!$B$5:$Y$123,17,FALSE)</f>
        <v>2842</v>
      </c>
      <c r="I31" s="172">
        <f>VLOOKUP(A31,Iedz_sk!$B$5:$Y$123,24,FALSE)</f>
        <v>2469</v>
      </c>
      <c r="J31" s="133">
        <f>VLOOKUP($A31,IKP!$Q$6:$AC$124,11,FALSE)</f>
        <v>27838.812752587019</v>
      </c>
      <c r="K31" s="133">
        <f>VLOOKUP($A31,IKP!$Q$6:$AC$124,12,FALSE)</f>
        <v>29413.887762217419</v>
      </c>
      <c r="L31" s="133">
        <f>VLOOKUP($A31,IKP!$Q$6:$AC$124,13,FALSE)</f>
        <v>30700.24133199863</v>
      </c>
      <c r="M31" s="172">
        <f>VLOOKUP($A31,IKP!$Q$6:$AD$124,14,FALSE)</f>
        <v>38878.511439410649</v>
      </c>
      <c r="N31" s="132">
        <f>((-0.0000000006)*IKP!$J$5 + 0.0461)*J31</f>
        <v>764.31365746344909</v>
      </c>
      <c r="O31" s="132">
        <f>((-0.0000000006)*IKP!$K$5 + 0.0461)*K31</f>
        <v>779.58771847759044</v>
      </c>
      <c r="P31" s="132">
        <f>((-0.0000000006)*IKP!$L$5 + 0.0461)*L31</f>
        <v>790.82053007770833</v>
      </c>
      <c r="Q31" s="172">
        <f>((-0.0000000006)*IKP!$M$5 + 0.0461)*M31</f>
        <v>835.41767909967689</v>
      </c>
      <c r="R31" s="132">
        <f t="shared" si="1"/>
        <v>183.43527779122778</v>
      </c>
      <c r="S31" s="132">
        <f t="shared" si="2"/>
        <v>187.10105243462172</v>
      </c>
      <c r="T31" s="132">
        <f t="shared" si="3"/>
        <v>189.79692721865001</v>
      </c>
      <c r="U31" s="172">
        <f t="shared" si="4"/>
        <v>200.50024298392245</v>
      </c>
      <c r="V31" s="175"/>
      <c r="W31" s="175"/>
    </row>
    <row r="32" spans="1:23" hidden="1" outlineLevel="1" x14ac:dyDescent="0.3">
      <c r="A32" s="98" t="s">
        <v>27</v>
      </c>
      <c r="B32" s="176" t="s">
        <v>97</v>
      </c>
      <c r="C32" s="176" t="s">
        <v>97</v>
      </c>
      <c r="D32" s="176" t="s">
        <v>176</v>
      </c>
      <c r="E32" s="180">
        <v>496</v>
      </c>
      <c r="F32" s="132">
        <f>VLOOKUP(A32,Iedz_sk!$B$5:$Y$123,15,FALSE)</f>
        <v>5672</v>
      </c>
      <c r="G32" s="132">
        <f>VLOOKUP(A32,Iedz_sk!$B$5:$Y$123,16,FALSE)</f>
        <v>5556</v>
      </c>
      <c r="H32" s="132">
        <f>VLOOKUP(A32,Iedz_sk!$B$5:$Y$123,17,FALSE)</f>
        <v>5440</v>
      </c>
      <c r="I32" s="172">
        <f>VLOOKUP(A32,Iedz_sk!$B$5:$Y$123,24,FALSE)</f>
        <v>4630</v>
      </c>
      <c r="J32" s="133">
        <f>VLOOKUP($A32,IKP!$Q$6:$AC$124,11,FALSE)</f>
        <v>54344.370332916398</v>
      </c>
      <c r="K32" s="133">
        <f>VLOOKUP($A32,IKP!$Q$6:$AC$124,12,FALSE)</f>
        <v>56963.731214438187</v>
      </c>
      <c r="L32" s="133">
        <f>VLOOKUP($A32,IKP!$Q$6:$AC$124,13,FALSE)</f>
        <v>58964.069854419598</v>
      </c>
      <c r="M32" s="172">
        <f>VLOOKUP($A32,IKP!$Q$6:$AD$124,14,FALSE)</f>
        <v>69759.295356693197</v>
      </c>
      <c r="N32" s="132">
        <f>((-0.0000000006)*IKP!$J$5 + 0.0461)*J32</f>
        <v>1492.0228395099068</v>
      </c>
      <c r="O32" s="132">
        <f>((-0.0000000006)*IKP!$K$5 + 0.0461)*K32</f>
        <v>1509.7706774579319</v>
      </c>
      <c r="P32" s="132">
        <f>((-0.0000000006)*IKP!$L$5 + 0.0461)*L32</f>
        <v>1518.8804698160154</v>
      </c>
      <c r="Q32" s="172">
        <f>((-0.0000000006)*IKP!$M$5 + 0.0461)*M32</f>
        <v>1498.9809657023463</v>
      </c>
      <c r="R32" s="132">
        <f t="shared" si="1"/>
        <v>358.08548148237759</v>
      </c>
      <c r="S32" s="132">
        <f t="shared" si="2"/>
        <v>362.34496258990367</v>
      </c>
      <c r="T32" s="132">
        <f t="shared" si="3"/>
        <v>364.53131275584371</v>
      </c>
      <c r="U32" s="172">
        <f t="shared" si="4"/>
        <v>359.75543176856308</v>
      </c>
      <c r="V32" s="175"/>
      <c r="W32" s="175"/>
    </row>
    <row r="33" spans="1:23" hidden="1" outlineLevel="1" x14ac:dyDescent="0.3">
      <c r="A33" s="98" t="s">
        <v>28</v>
      </c>
      <c r="B33" s="176" t="s">
        <v>442</v>
      </c>
      <c r="C33" s="176" t="s">
        <v>442</v>
      </c>
      <c r="D33" s="176" t="s">
        <v>439</v>
      </c>
      <c r="E33" s="180">
        <v>702</v>
      </c>
      <c r="F33" s="132">
        <f>VLOOKUP(A33,Iedz_sk!$B$5:$Y$123,15,FALSE)</f>
        <v>7410</v>
      </c>
      <c r="G33" s="132">
        <f>VLOOKUP(A33,Iedz_sk!$B$5:$Y$123,16,FALSE)</f>
        <v>7314</v>
      </c>
      <c r="H33" s="132">
        <f>VLOOKUP(A33,Iedz_sk!$B$5:$Y$123,17,FALSE)</f>
        <v>7218</v>
      </c>
      <c r="I33" s="172">
        <f>VLOOKUP(A33,Iedz_sk!$B$5:$Y$123,24,FALSE)</f>
        <v>6545</v>
      </c>
      <c r="J33" s="133">
        <f>VLOOKUP($A33,IKP!$Q$6:$AC$124,11,FALSE)</f>
        <v>69974.763397784875</v>
      </c>
      <c r="K33" s="133">
        <f>VLOOKUP($A33,IKP!$Q$6:$AC$124,12,FALSE)</f>
        <v>74311.977579571045</v>
      </c>
      <c r="L33" s="133">
        <f>VLOOKUP($A33,IKP!$Q$6:$AC$124,13,FALSE)</f>
        <v>77971.267394217488</v>
      </c>
      <c r="M33" s="172">
        <f>VLOOKUP($A33,IKP!$Q$6:$AD$124,14,FALSE)</f>
        <v>103061.910640317</v>
      </c>
      <c r="N33" s="132">
        <f>((-0.0000000006)*IKP!$J$5 + 0.0461)*J33</f>
        <v>1921.1547495943546</v>
      </c>
      <c r="O33" s="132">
        <f>((-0.0000000006)*IKP!$K$5 + 0.0461)*K33</f>
        <v>1969.569800671881</v>
      </c>
      <c r="P33" s="132">
        <f>((-0.0000000006)*IKP!$L$5 + 0.0461)*L33</f>
        <v>2008.4949282550665</v>
      </c>
      <c r="Q33" s="172">
        <f>((-0.0000000006)*IKP!$M$5 + 0.0461)*M33</f>
        <v>2214.5843295696172</v>
      </c>
      <c r="R33" s="132">
        <f t="shared" si="1"/>
        <v>461.07713990264506</v>
      </c>
      <c r="S33" s="132">
        <f t="shared" si="2"/>
        <v>472.69675216125142</v>
      </c>
      <c r="T33" s="132">
        <f t="shared" si="3"/>
        <v>482.03878278121601</v>
      </c>
      <c r="U33" s="172">
        <f t="shared" si="4"/>
        <v>531.50023909670813</v>
      </c>
      <c r="V33" s="175"/>
      <c r="W33" s="175"/>
    </row>
    <row r="34" spans="1:23" hidden="1" outlineLevel="1" x14ac:dyDescent="0.3">
      <c r="A34" s="98" t="s">
        <v>29</v>
      </c>
      <c r="B34" s="176" t="s">
        <v>20</v>
      </c>
      <c r="C34" s="176" t="s">
        <v>20</v>
      </c>
      <c r="D34" s="176" t="s">
        <v>438</v>
      </c>
      <c r="E34" s="180">
        <v>81</v>
      </c>
      <c r="F34" s="132">
        <f>VLOOKUP(A34,Iedz_sk!$B$5:$Y$123,15,FALSE)</f>
        <v>9310</v>
      </c>
      <c r="G34" s="132">
        <f>VLOOKUP(A34,Iedz_sk!$B$5:$Y$123,16,FALSE)</f>
        <v>9290</v>
      </c>
      <c r="H34" s="132">
        <f>VLOOKUP(A34,Iedz_sk!$B$5:$Y$123,17,FALSE)</f>
        <v>9269</v>
      </c>
      <c r="I34" s="172">
        <f>VLOOKUP(A34,Iedz_sk!$B$5:$Y$123,24,FALSE)</f>
        <v>9126</v>
      </c>
      <c r="J34" s="133">
        <f>VLOOKUP($A34,IKP!$Q$6:$AC$124,11,FALSE)</f>
        <v>120779.74566676462</v>
      </c>
      <c r="K34" s="133">
        <f>VLOOKUP($A34,IKP!$Q$6:$AC$124,12,FALSE)</f>
        <v>127058.73811584535</v>
      </c>
      <c r="L34" s="133">
        <f>VLOOKUP($A34,IKP!$Q$6:$AC$124,13,FALSE)</f>
        <v>131997.25363300164</v>
      </c>
      <c r="M34" s="172">
        <f>VLOOKUP($A34,IKP!$Q$6:$AD$124,14,FALSE)</f>
        <v>160750.97774938744</v>
      </c>
      <c r="N34" s="132">
        <f>((-0.0000000006)*IKP!$J$5 + 0.0461)*J34</f>
        <v>3316.0038101657715</v>
      </c>
      <c r="O34" s="132">
        <f>((-0.0000000006)*IKP!$K$5 + 0.0461)*K34</f>
        <v>3367.5735952052269</v>
      </c>
      <c r="P34" s="132">
        <f>((-0.0000000006)*IKP!$L$5 + 0.0461)*L34</f>
        <v>3400.1732089985621</v>
      </c>
      <c r="Q34" s="172">
        <f>((-0.0000000006)*IKP!$M$5 + 0.0461)*M34</f>
        <v>3454.2014025841722</v>
      </c>
      <c r="R34" s="132">
        <f t="shared" si="1"/>
        <v>795.84091443978514</v>
      </c>
      <c r="S34" s="132">
        <f t="shared" si="2"/>
        <v>808.21766284925445</v>
      </c>
      <c r="T34" s="132">
        <f t="shared" si="3"/>
        <v>816.04157015965495</v>
      </c>
      <c r="U34" s="172">
        <f t="shared" si="4"/>
        <v>829.00833662020136</v>
      </c>
      <c r="V34" s="175"/>
      <c r="W34" s="175"/>
    </row>
    <row r="35" spans="1:23" hidden="1" outlineLevel="1" x14ac:dyDescent="0.3">
      <c r="A35" s="98" t="s">
        <v>30</v>
      </c>
      <c r="B35" s="176" t="s">
        <v>68</v>
      </c>
      <c r="C35" s="176" t="s">
        <v>68</v>
      </c>
      <c r="D35" s="176" t="s">
        <v>439</v>
      </c>
      <c r="E35" s="180">
        <v>190</v>
      </c>
      <c r="F35" s="132">
        <f>VLOOKUP(A35,Iedz_sk!$B$5:$Y$123,15,FALSE)</f>
        <v>2253</v>
      </c>
      <c r="G35" s="132">
        <f>VLOOKUP(A35,Iedz_sk!$B$5:$Y$123,16,FALSE)</f>
        <v>2198</v>
      </c>
      <c r="H35" s="132">
        <f>VLOOKUP(A35,Iedz_sk!$B$5:$Y$123,17,FALSE)</f>
        <v>2144</v>
      </c>
      <c r="I35" s="172">
        <f>VLOOKUP(A35,Iedz_sk!$B$5:$Y$123,24,FALSE)</f>
        <v>1762</v>
      </c>
      <c r="J35" s="133">
        <f>VLOOKUP($A35,IKP!$Q$6:$AC$124,11,FALSE)</f>
        <v>21275.727656573457</v>
      </c>
      <c r="K35" s="133">
        <f>VLOOKUP($A35,IKP!$Q$6:$AC$124,12,FALSE)</f>
        <v>22332.202176633466</v>
      </c>
      <c r="L35" s="133">
        <f>VLOOKUP($A35,IKP!$Q$6:$AC$124,13,FALSE)</f>
        <v>23160.210209642879</v>
      </c>
      <c r="M35" s="172">
        <f>VLOOKUP($A35,IKP!$Q$6:$AD$124,14,FALSE)</f>
        <v>27745.620557408489</v>
      </c>
      <c r="N35" s="132">
        <f>((-0.0000000006)*IKP!$J$5 + 0.0461)*J35</f>
        <v>584.1243793301054</v>
      </c>
      <c r="O35" s="132">
        <f>((-0.0000000006)*IKP!$K$5 + 0.0461)*K35</f>
        <v>591.89423323445374</v>
      </c>
      <c r="P35" s="132">
        <f>((-0.0000000006)*IKP!$L$5 + 0.0461)*L35</f>
        <v>596.59367223314803</v>
      </c>
      <c r="Q35" s="172">
        <f>((-0.0000000006)*IKP!$M$5 + 0.0461)*M35</f>
        <v>596.19520071835984</v>
      </c>
      <c r="R35" s="132">
        <f t="shared" si="1"/>
        <v>140.18985103922529</v>
      </c>
      <c r="S35" s="132">
        <f t="shared" si="2"/>
        <v>142.05461597626891</v>
      </c>
      <c r="T35" s="132">
        <f t="shared" si="3"/>
        <v>143.18248133595552</v>
      </c>
      <c r="U35" s="172">
        <f t="shared" si="4"/>
        <v>143.08684817240635</v>
      </c>
      <c r="V35" s="175"/>
      <c r="W35" s="175"/>
    </row>
    <row r="36" spans="1:23" hidden="1" outlineLevel="1" x14ac:dyDescent="0.3">
      <c r="A36" s="98" t="s">
        <v>31</v>
      </c>
      <c r="B36" s="176" t="s">
        <v>31</v>
      </c>
      <c r="C36" s="176" t="s">
        <v>31</v>
      </c>
      <c r="D36" s="176" t="s">
        <v>439</v>
      </c>
      <c r="E36" s="180">
        <v>173</v>
      </c>
      <c r="F36" s="132">
        <f>VLOOKUP(A36,Iedz_sk!$B$5:$Y$123,15,FALSE)</f>
        <v>16143</v>
      </c>
      <c r="G36" s="132">
        <f>VLOOKUP(A36,Iedz_sk!$B$5:$Y$123,16,FALSE)</f>
        <v>15785</v>
      </c>
      <c r="H36" s="132">
        <f>VLOOKUP(A36,Iedz_sk!$B$5:$Y$123,17,FALSE)</f>
        <v>15426</v>
      </c>
      <c r="I36" s="172">
        <f>VLOOKUP(A36,Iedz_sk!$B$5:$Y$123,24,FALSE)</f>
        <v>12918</v>
      </c>
      <c r="J36" s="133">
        <f>VLOOKUP($A36,IKP!$Q$6:$AC$124,11,FALSE)</f>
        <v>152442.99669776534</v>
      </c>
      <c r="K36" s="133">
        <f>VLOOKUP($A36,IKP!$Q$6:$AC$124,12,FALSE)</f>
        <v>160379.35002646007</v>
      </c>
      <c r="L36" s="133">
        <f>VLOOKUP($A36,IKP!$Q$6:$AC$124,13,FALSE)</f>
        <v>166636.84827143239</v>
      </c>
      <c r="M36" s="172">
        <f>VLOOKUP($A36,IKP!$Q$6:$AD$124,14,FALSE)</f>
        <v>203415.39521033078</v>
      </c>
      <c r="N36" s="132">
        <f>((-0.0000000006)*IKP!$J$5 + 0.0461)*J36</f>
        <v>4185.317290513045</v>
      </c>
      <c r="O36" s="132">
        <f>((-0.0000000006)*IKP!$K$5 + 0.0461)*K36</f>
        <v>4250.705401094564</v>
      </c>
      <c r="P36" s="132">
        <f>((-0.0000000006)*IKP!$L$5 + 0.0461)*L36</f>
        <v>4292.4692107595811</v>
      </c>
      <c r="Q36" s="172">
        <f>((-0.0000000006)*IKP!$M$5 + 0.0461)*M36</f>
        <v>4370.9702627013467</v>
      </c>
      <c r="R36" s="132">
        <f t="shared" si="1"/>
        <v>1004.4761497231308</v>
      </c>
      <c r="S36" s="132">
        <f t="shared" si="2"/>
        <v>1020.1692962626954</v>
      </c>
      <c r="T36" s="132">
        <f t="shared" si="3"/>
        <v>1030.1926105822995</v>
      </c>
      <c r="U36" s="172">
        <f t="shared" si="4"/>
        <v>1049.0328630483232</v>
      </c>
      <c r="V36" s="175"/>
      <c r="W36" s="175"/>
    </row>
    <row r="37" spans="1:23" hidden="1" outlineLevel="1" x14ac:dyDescent="0.3">
      <c r="A37" s="98" t="s">
        <v>32</v>
      </c>
      <c r="B37" s="176" t="s">
        <v>67</v>
      </c>
      <c r="C37" s="176" t="s">
        <v>67</v>
      </c>
      <c r="D37" s="176" t="s">
        <v>437</v>
      </c>
      <c r="E37" s="180">
        <v>510</v>
      </c>
      <c r="F37" s="132">
        <f>VLOOKUP(A37,Iedz_sk!$B$5:$Y$123,15,FALSE)</f>
        <v>2362</v>
      </c>
      <c r="G37" s="132">
        <f>VLOOKUP(A37,Iedz_sk!$B$5:$Y$123,16,FALSE)</f>
        <v>2316</v>
      </c>
      <c r="H37" s="132">
        <f>VLOOKUP(A37,Iedz_sk!$B$5:$Y$123,17,FALSE)</f>
        <v>2270</v>
      </c>
      <c r="I37" s="172">
        <f>VLOOKUP(A37,Iedz_sk!$B$5:$Y$123,24,FALSE)</f>
        <v>1950</v>
      </c>
      <c r="J37" s="133">
        <f>VLOOKUP($A37,IKP!$Q$6:$AC$124,11,FALSE)</f>
        <v>15532.278679271749</v>
      </c>
      <c r="K37" s="133">
        <f>VLOOKUP($A37,IKP!$Q$6:$AC$124,12,FALSE)</f>
        <v>16382.402732200253</v>
      </c>
      <c r="L37" s="133">
        <f>VLOOKUP($A37,IKP!$Q$6:$AC$124,13,FALSE)</f>
        <v>17068.009587708482</v>
      </c>
      <c r="M37" s="172">
        <f>VLOOKUP($A37,IKP!$Q$6:$AD$124,14,FALSE)</f>
        <v>21332.565365953415</v>
      </c>
      <c r="N37" s="132">
        <f>((-0.0000000006)*IKP!$J$5 + 0.0461)*J37</f>
        <v>426.43818296426946</v>
      </c>
      <c r="O37" s="132">
        <f>((-0.0000000006)*IKP!$K$5 + 0.0461)*K37</f>
        <v>434.20033667165376</v>
      </c>
      <c r="P37" s="132">
        <f>((-0.0000000006)*IKP!$L$5 + 0.0461)*L37</f>
        <v>439.66209397365373</v>
      </c>
      <c r="Q37" s="172">
        <f>((-0.0000000006)*IKP!$M$5 + 0.0461)*M37</f>
        <v>458.3920934071931</v>
      </c>
      <c r="R37" s="132">
        <f t="shared" si="1"/>
        <v>102.34516391142468</v>
      </c>
      <c r="S37" s="132">
        <f t="shared" si="2"/>
        <v>104.2080808011969</v>
      </c>
      <c r="T37" s="132">
        <f t="shared" si="3"/>
        <v>105.5189025536769</v>
      </c>
      <c r="U37" s="172">
        <f t="shared" si="4"/>
        <v>110.01410241772635</v>
      </c>
      <c r="V37" s="175"/>
      <c r="W37" s="175"/>
    </row>
    <row r="38" spans="1:23" hidden="1" outlineLevel="1" x14ac:dyDescent="0.3">
      <c r="A38" s="98" t="s">
        <v>33</v>
      </c>
      <c r="B38" s="176" t="s">
        <v>56</v>
      </c>
      <c r="C38" s="176" t="s">
        <v>56</v>
      </c>
      <c r="D38" s="176" t="s">
        <v>437</v>
      </c>
      <c r="E38" s="180">
        <v>950</v>
      </c>
      <c r="F38" s="132">
        <f>VLOOKUP(A38,Iedz_sk!$B$5:$Y$123,15,FALSE)</f>
        <v>6475</v>
      </c>
      <c r="G38" s="132">
        <f>VLOOKUP(A38,Iedz_sk!$B$5:$Y$123,16,FALSE)</f>
        <v>6316</v>
      </c>
      <c r="H38" s="132">
        <f>VLOOKUP(A38,Iedz_sk!$B$5:$Y$123,17,FALSE)</f>
        <v>6156</v>
      </c>
      <c r="I38" s="172">
        <f>VLOOKUP(A38,Iedz_sk!$B$5:$Y$123,24,FALSE)</f>
        <v>5041</v>
      </c>
      <c r="J38" s="133">
        <f>VLOOKUP($A38,IKP!$Q$6:$AC$124,11,FALSE)</f>
        <v>42578.960393007867</v>
      </c>
      <c r="K38" s="133">
        <f>VLOOKUP($A38,IKP!$Q$6:$AC$124,12,FALSE)</f>
        <v>44676.707969160969</v>
      </c>
      <c r="L38" s="133">
        <f>VLOOKUP($A38,IKP!$Q$6:$AC$124,13,FALSE)</f>
        <v>46286.637454596217</v>
      </c>
      <c r="M38" s="172">
        <f>VLOOKUP($A38,IKP!$Q$6:$AD$124,14,FALSE)</f>
        <v>55147.416415267267</v>
      </c>
      <c r="N38" s="132">
        <f>((-0.0000000006)*IKP!$J$5 + 0.0461)*J38</f>
        <v>1169.0039096924829</v>
      </c>
      <c r="O38" s="132">
        <f>((-0.0000000006)*IKP!$K$5 + 0.0461)*K38</f>
        <v>1184.1145623567206</v>
      </c>
      <c r="P38" s="132">
        <f>((-0.0000000006)*IKP!$L$5 + 0.0461)*L38</f>
        <v>1192.3171147585076</v>
      </c>
      <c r="Q38" s="172">
        <f>((-0.0000000006)*IKP!$M$5 + 0.0461)*M38</f>
        <v>1185.0023296746976</v>
      </c>
      <c r="R38" s="132">
        <f t="shared" si="1"/>
        <v>280.56093832619587</v>
      </c>
      <c r="S38" s="132">
        <f t="shared" si="2"/>
        <v>284.18749496561293</v>
      </c>
      <c r="T38" s="132">
        <f t="shared" si="3"/>
        <v>286.15610754204187</v>
      </c>
      <c r="U38" s="172">
        <f t="shared" si="4"/>
        <v>284.40055912192742</v>
      </c>
      <c r="V38" s="175"/>
      <c r="W38" s="175"/>
    </row>
    <row r="39" spans="1:23" hidden="1" outlineLevel="1" x14ac:dyDescent="0.3">
      <c r="A39" s="98" t="s">
        <v>34</v>
      </c>
      <c r="B39" s="176" t="s">
        <v>443</v>
      </c>
      <c r="C39" s="176" t="s">
        <v>443</v>
      </c>
      <c r="D39" s="176" t="s">
        <v>437</v>
      </c>
      <c r="E39" s="180">
        <v>1876</v>
      </c>
      <c r="F39" s="132">
        <f>VLOOKUP(A39,Iedz_sk!$B$5:$Y$123,15,FALSE)</f>
        <v>19553</v>
      </c>
      <c r="G39" s="132">
        <f>VLOOKUP(A39,Iedz_sk!$B$5:$Y$123,16,FALSE)</f>
        <v>18967</v>
      </c>
      <c r="H39" s="132">
        <f>VLOOKUP(A39,Iedz_sk!$B$5:$Y$123,17,FALSE)</f>
        <v>18381</v>
      </c>
      <c r="I39" s="172">
        <f>VLOOKUP(A39,Iedz_sk!$B$5:$Y$123,24,FALSE)</f>
        <v>14277</v>
      </c>
      <c r="J39" s="133">
        <f>VLOOKUP($A39,IKP!$Q$6:$AC$124,11,FALSE)</f>
        <v>128578.59653505526</v>
      </c>
      <c r="K39" s="133">
        <f>VLOOKUP($A39,IKP!$Q$6:$AC$124,12,FALSE)</f>
        <v>134164.52185735846</v>
      </c>
      <c r="L39" s="133">
        <f>VLOOKUP($A39,IKP!$Q$6:$AC$124,13,FALSE)</f>
        <v>138205.76397870909</v>
      </c>
      <c r="M39" s="172">
        <f>VLOOKUP($A39,IKP!$Q$6:$AD$124,14,FALSE)</f>
        <v>156187.19781011125</v>
      </c>
      <c r="N39" s="132">
        <f>((-0.0000000006)*IKP!$J$5 + 0.0461)*J39</f>
        <v>3530.1209955547674</v>
      </c>
      <c r="O39" s="132">
        <f>((-0.0000000006)*IKP!$K$5 + 0.0461)*K39</f>
        <v>3555.9057796421657</v>
      </c>
      <c r="P39" s="132">
        <f>((-0.0000000006)*IKP!$L$5 + 0.0461)*L39</f>
        <v>3560.1008587355641</v>
      </c>
      <c r="Q39" s="172">
        <f>((-0.0000000006)*IKP!$M$5 + 0.0461)*M39</f>
        <v>3356.1353423458954</v>
      </c>
      <c r="R39" s="132">
        <f t="shared" ref="R39:R70" si="5">N39*$X$6*$X$5</f>
        <v>847.22903893314424</v>
      </c>
      <c r="S39" s="132">
        <f t="shared" ref="S39:S70" si="6">O39*$X$6*$X$5</f>
        <v>853.41738711411983</v>
      </c>
      <c r="T39" s="132">
        <f t="shared" ref="T39:T70" si="7">P39*$X$6*$X$5</f>
        <v>854.42420609653539</v>
      </c>
      <c r="U39" s="172">
        <f t="shared" si="4"/>
        <v>805.47248216301489</v>
      </c>
      <c r="V39" s="175"/>
      <c r="W39" s="175"/>
    </row>
    <row r="40" spans="1:23" hidden="1" outlineLevel="1" x14ac:dyDescent="0.3">
      <c r="A40" s="98" t="s">
        <v>35</v>
      </c>
      <c r="B40" s="176" t="s">
        <v>35</v>
      </c>
      <c r="C40" s="176" t="s">
        <v>35</v>
      </c>
      <c r="D40" s="176" t="s">
        <v>438</v>
      </c>
      <c r="E40" s="180">
        <v>888</v>
      </c>
      <c r="F40" s="132">
        <f>VLOOKUP(A40,Iedz_sk!$B$5:$Y$123,15,FALSE)</f>
        <v>19219</v>
      </c>
      <c r="G40" s="132">
        <f>VLOOKUP(A40,Iedz_sk!$B$5:$Y$123,16,FALSE)</f>
        <v>18842</v>
      </c>
      <c r="H40" s="132">
        <f>VLOOKUP(A40,Iedz_sk!$B$5:$Y$123,17,FALSE)</f>
        <v>18464</v>
      </c>
      <c r="I40" s="172">
        <f>VLOOKUP(A40,Iedz_sk!$B$5:$Y$123,24,FALSE)</f>
        <v>15822</v>
      </c>
      <c r="J40" s="133">
        <f>VLOOKUP($A40,IKP!$Q$6:$AC$124,11,FALSE)</f>
        <v>164018.81502434998</v>
      </c>
      <c r="K40" s="133">
        <f>VLOOKUP($A40,IKP!$Q$6:$AC$124,12,FALSE)</f>
        <v>171796.82331590465</v>
      </c>
      <c r="L40" s="133">
        <f>VLOOKUP($A40,IKP!$Q$6:$AC$124,13,FALSE)</f>
        <v>177686.95631881291</v>
      </c>
      <c r="M40" s="172">
        <f>VLOOKUP($A40,IKP!$Q$6:$AD$124,14,FALSE)</f>
        <v>208831.01501331659</v>
      </c>
      <c r="N40" s="132">
        <f>((-0.0000000006)*IKP!$J$5 + 0.0461)*J40</f>
        <v>4503.1309890337243</v>
      </c>
      <c r="O40" s="132">
        <f>((-0.0000000006)*IKP!$K$5 + 0.0461)*K40</f>
        <v>4553.3149039407099</v>
      </c>
      <c r="P40" s="132">
        <f>((-0.0000000006)*IKP!$L$5 + 0.0461)*L40</f>
        <v>4577.1136280116752</v>
      </c>
      <c r="Q40" s="172">
        <f>((-0.0000000006)*IKP!$M$5 + 0.0461)*M40</f>
        <v>4487.3405752259769</v>
      </c>
      <c r="R40" s="132">
        <f t="shared" si="5"/>
        <v>1080.7514373680938</v>
      </c>
      <c r="S40" s="132">
        <f t="shared" si="6"/>
        <v>1092.7955769457703</v>
      </c>
      <c r="T40" s="132">
        <f t="shared" si="7"/>
        <v>1098.5072707228021</v>
      </c>
      <c r="U40" s="172">
        <f t="shared" si="4"/>
        <v>1076.9617380542345</v>
      </c>
      <c r="V40" s="175"/>
      <c r="W40" s="175"/>
    </row>
    <row r="41" spans="1:23" hidden="1" outlineLevel="1" x14ac:dyDescent="0.3">
      <c r="A41" s="98" t="s">
        <v>36</v>
      </c>
      <c r="B41" s="176" t="s">
        <v>106</v>
      </c>
      <c r="C41" s="176" t="s">
        <v>106</v>
      </c>
      <c r="D41" s="176" t="s">
        <v>440</v>
      </c>
      <c r="E41" s="180">
        <v>676</v>
      </c>
      <c r="F41" s="132">
        <f>VLOOKUP(A41,Iedz_sk!$B$5:$Y$123,15,FALSE)</f>
        <v>3487</v>
      </c>
      <c r="G41" s="132">
        <f>VLOOKUP(A41,Iedz_sk!$B$5:$Y$123,16,FALSE)</f>
        <v>3431</v>
      </c>
      <c r="H41" s="132">
        <f>VLOOKUP(A41,Iedz_sk!$B$5:$Y$123,17,FALSE)</f>
        <v>3374</v>
      </c>
      <c r="I41" s="172">
        <f>VLOOKUP(A41,Iedz_sk!$B$5:$Y$123,24,FALSE)</f>
        <v>2979</v>
      </c>
      <c r="J41" s="133">
        <f>VLOOKUP($A41,IKP!$Q$6:$AC$124,11,FALSE)</f>
        <v>33409.523862990034</v>
      </c>
      <c r="K41" s="133">
        <f>VLOOKUP($A41,IKP!$Q$6:$AC$124,12,FALSE)</f>
        <v>35176.846975654684</v>
      </c>
      <c r="L41" s="133">
        <f>VLOOKUP($A41,IKP!$Q$6:$AC$124,13,FALSE)</f>
        <v>36570.730089855097</v>
      </c>
      <c r="M41" s="172">
        <f>VLOOKUP($A41,IKP!$Q$6:$AD$124,14,FALSE)</f>
        <v>44884.00450703867</v>
      </c>
      <c r="N41" s="132">
        <f>((-0.0000000006)*IKP!$J$5 + 0.0461)*J41</f>
        <v>917.25734156753254</v>
      </c>
      <c r="O41" s="132">
        <f>((-0.0000000006)*IKP!$K$5 + 0.0461)*K41</f>
        <v>932.3295886173803</v>
      </c>
      <c r="P41" s="132">
        <f>((-0.0000000006)*IKP!$L$5 + 0.0461)*L41</f>
        <v>942.04093844838894</v>
      </c>
      <c r="Q41" s="172">
        <f>((-0.0000000006)*IKP!$M$5 + 0.0461)*M41</f>
        <v>964.46313106420951</v>
      </c>
      <c r="R41" s="132">
        <f t="shared" si="5"/>
        <v>220.14176197620782</v>
      </c>
      <c r="S41" s="132">
        <f t="shared" si="6"/>
        <v>223.75910126817129</v>
      </c>
      <c r="T41" s="132">
        <f t="shared" si="7"/>
        <v>226.08982522761335</v>
      </c>
      <c r="U41" s="172">
        <f t="shared" si="4"/>
        <v>231.47115145541028</v>
      </c>
      <c r="V41" s="175"/>
      <c r="W41" s="175"/>
    </row>
    <row r="42" spans="1:23" hidden="1" outlineLevel="1" x14ac:dyDescent="0.3">
      <c r="A42" s="98" t="s">
        <v>37</v>
      </c>
      <c r="B42" s="176" t="s">
        <v>441</v>
      </c>
      <c r="C42" s="176" t="s">
        <v>441</v>
      </c>
      <c r="D42" s="176" t="s">
        <v>176</v>
      </c>
      <c r="E42" s="180">
        <v>320</v>
      </c>
      <c r="F42" s="132">
        <f>VLOOKUP(A42,Iedz_sk!$B$5:$Y$123,15,FALSE)</f>
        <v>2620</v>
      </c>
      <c r="G42" s="132">
        <f>VLOOKUP(A42,Iedz_sk!$B$5:$Y$123,16,FALSE)</f>
        <v>2563</v>
      </c>
      <c r="H42" s="132">
        <f>VLOOKUP(A42,Iedz_sk!$B$5:$Y$123,17,FALSE)</f>
        <v>2506</v>
      </c>
      <c r="I42" s="172">
        <f>VLOOKUP(A42,Iedz_sk!$B$5:$Y$123,24,FALSE)</f>
        <v>2107</v>
      </c>
      <c r="J42" s="133">
        <f>VLOOKUP($A42,IKP!$Q$6:$AC$124,11,FALSE)</f>
        <v>25102.653433046715</v>
      </c>
      <c r="K42" s="133">
        <f>VLOOKUP($A42,IKP!$Q$6:$AC$124,12,FALSE)</f>
        <v>26277.545554824526</v>
      </c>
      <c r="L42" s="133">
        <f>VLOOKUP($A42,IKP!$Q$6:$AC$124,13,FALSE)</f>
        <v>27162.49247337785</v>
      </c>
      <c r="M42" s="172">
        <f>VLOOKUP($A42,IKP!$Q$6:$AD$124,14,FALSE)</f>
        <v>31745.752768153903</v>
      </c>
      <c r="N42" s="132">
        <f>((-0.0000000006)*IKP!$J$5 + 0.0461)*J42</f>
        <v>689.19249638856763</v>
      </c>
      <c r="O42" s="132">
        <f>((-0.0000000006)*IKP!$K$5 + 0.0461)*K42</f>
        <v>696.46188738745138</v>
      </c>
      <c r="P42" s="132">
        <f>((-0.0000000006)*IKP!$L$5 + 0.0461)*L42</f>
        <v>699.69015760274522</v>
      </c>
      <c r="Q42" s="172">
        <f>((-0.0000000006)*IKP!$M$5 + 0.0461)*M42</f>
        <v>682.14965329046311</v>
      </c>
      <c r="R42" s="132">
        <f t="shared" si="5"/>
        <v>165.40619913325625</v>
      </c>
      <c r="S42" s="132">
        <f t="shared" si="6"/>
        <v>167.15085297298833</v>
      </c>
      <c r="T42" s="132">
        <f t="shared" si="7"/>
        <v>167.92563782465888</v>
      </c>
      <c r="U42" s="172">
        <f t="shared" si="4"/>
        <v>163.71591678971114</v>
      </c>
      <c r="V42" s="175"/>
      <c r="W42" s="175"/>
    </row>
    <row r="43" spans="1:23" hidden="1" outlineLevel="1" x14ac:dyDescent="0.3">
      <c r="A43" s="98" t="s">
        <v>38</v>
      </c>
      <c r="B43" s="176" t="s">
        <v>108</v>
      </c>
      <c r="C43" s="176" t="s">
        <v>108</v>
      </c>
      <c r="D43" s="176" t="s">
        <v>440</v>
      </c>
      <c r="E43" s="180">
        <v>396</v>
      </c>
      <c r="F43" s="132">
        <f>VLOOKUP(A43,Iedz_sk!$B$5:$Y$123,15,FALSE)</f>
        <v>7147</v>
      </c>
      <c r="G43" s="132">
        <f>VLOOKUP(A43,Iedz_sk!$B$5:$Y$123,16,FALSE)</f>
        <v>7052</v>
      </c>
      <c r="H43" s="132">
        <f>VLOOKUP(A43,Iedz_sk!$B$5:$Y$123,17,FALSE)</f>
        <v>6956</v>
      </c>
      <c r="I43" s="172">
        <f>VLOOKUP(A43,Iedz_sk!$B$5:$Y$123,24,FALSE)</f>
        <v>6288</v>
      </c>
      <c r="J43" s="133">
        <f>VLOOKUP($A43,IKP!$Q$6:$AC$124,11,FALSE)</f>
        <v>92718.887462982471</v>
      </c>
      <c r="K43" s="133">
        <f>VLOOKUP($A43,IKP!$Q$6:$AC$124,12,FALSE)</f>
        <v>96449.754703222963</v>
      </c>
      <c r="L43" s="133">
        <f>VLOOKUP($A43,IKP!$Q$6:$AC$124,13,FALSE)</f>
        <v>99058.463293900029</v>
      </c>
      <c r="M43" s="172">
        <f>VLOOKUP($A43,IKP!$Q$6:$AD$124,14,FALSE)</f>
        <v>110760.6999877436</v>
      </c>
      <c r="N43" s="132">
        <f>((-0.0000000006)*IKP!$J$5 + 0.0461)*J43</f>
        <v>2545.5939023904161</v>
      </c>
      <c r="O43" s="132">
        <f>((-0.0000000006)*IKP!$K$5 + 0.0461)*K43</f>
        <v>2556.310978836088</v>
      </c>
      <c r="P43" s="132">
        <f>((-0.0000000006)*IKP!$L$5 + 0.0461)*L43</f>
        <v>2551.6889461424098</v>
      </c>
      <c r="Q43" s="172">
        <f>((-0.0000000006)*IKP!$M$5 + 0.0461)*M43</f>
        <v>2380.0151675925131</v>
      </c>
      <c r="R43" s="132">
        <f t="shared" si="5"/>
        <v>610.94253657369984</v>
      </c>
      <c r="S43" s="132">
        <f t="shared" si="6"/>
        <v>613.51463492066114</v>
      </c>
      <c r="T43" s="132">
        <f t="shared" si="7"/>
        <v>612.40534707417839</v>
      </c>
      <c r="U43" s="172">
        <f t="shared" si="4"/>
        <v>571.20364022220315</v>
      </c>
      <c r="V43" s="175"/>
      <c r="W43" s="175"/>
    </row>
    <row r="44" spans="1:23" hidden="1" outlineLevel="1" x14ac:dyDescent="0.3">
      <c r="A44" s="98" t="s">
        <v>39</v>
      </c>
      <c r="B44" s="176" t="s">
        <v>68</v>
      </c>
      <c r="C44" s="176" t="s">
        <v>68</v>
      </c>
      <c r="D44" s="176" t="s">
        <v>439</v>
      </c>
      <c r="E44" s="180">
        <v>379</v>
      </c>
      <c r="F44" s="132">
        <f>VLOOKUP(A44,Iedz_sk!$B$5:$Y$123,15,FALSE)</f>
        <v>2600</v>
      </c>
      <c r="G44" s="132">
        <f>VLOOKUP(A44,Iedz_sk!$B$5:$Y$123,16,FALSE)</f>
        <v>2533</v>
      </c>
      <c r="H44" s="132">
        <f>VLOOKUP(A44,Iedz_sk!$B$5:$Y$123,17,FALSE)</f>
        <v>2466</v>
      </c>
      <c r="I44" s="172">
        <f>VLOOKUP(A44,Iedz_sk!$B$5:$Y$123,24,FALSE)</f>
        <v>1998</v>
      </c>
      <c r="J44" s="133">
        <f>VLOOKUP($A44,IKP!$Q$6:$AC$124,11,FALSE)</f>
        <v>24552.54856062627</v>
      </c>
      <c r="K44" s="133">
        <f>VLOOKUP($A44,IKP!$Q$6:$AC$124,12,FALSE)</f>
        <v>25735.881762244117</v>
      </c>
      <c r="L44" s="133">
        <f>VLOOKUP($A44,IKP!$Q$6:$AC$124,13,FALSE)</f>
        <v>26638.562675829919</v>
      </c>
      <c r="M44" s="172">
        <f>VLOOKUP($A44,IKP!$Q$6:$AD$124,14,FALSE)</f>
        <v>31461.833072475685</v>
      </c>
      <c r="N44" s="132">
        <f>((-0.0000000006)*IKP!$J$5 + 0.0461)*J44</f>
        <v>674.08938582258054</v>
      </c>
      <c r="O44" s="132">
        <f>((-0.0000000006)*IKP!$K$5 + 0.0461)*K44</f>
        <v>682.10559271286229</v>
      </c>
      <c r="P44" s="132">
        <f>((-0.0000000006)*IKP!$L$5 + 0.0461)*L44</f>
        <v>686.19402785771604</v>
      </c>
      <c r="Q44" s="172">
        <f>((-0.0000000006)*IKP!$M$5 + 0.0461)*M44</f>
        <v>676.0488144354614</v>
      </c>
      <c r="R44" s="132">
        <f t="shared" si="5"/>
        <v>161.78145259741933</v>
      </c>
      <c r="S44" s="132">
        <f t="shared" si="6"/>
        <v>163.70534225108693</v>
      </c>
      <c r="T44" s="132">
        <f t="shared" si="7"/>
        <v>164.68656668585186</v>
      </c>
      <c r="U44" s="172">
        <f t="shared" si="4"/>
        <v>162.25171546451074</v>
      </c>
      <c r="V44" s="175"/>
      <c r="W44" s="175"/>
    </row>
    <row r="45" spans="1:23" hidden="1" outlineLevel="1" x14ac:dyDescent="0.3">
      <c r="A45" s="98" t="s">
        <v>40</v>
      </c>
      <c r="B45" s="176" t="s">
        <v>89</v>
      </c>
      <c r="C45" s="176" t="s">
        <v>89</v>
      </c>
      <c r="D45" s="176" t="s">
        <v>438</v>
      </c>
      <c r="E45" s="180">
        <v>152</v>
      </c>
      <c r="F45" s="132">
        <f>VLOOKUP(A45,Iedz_sk!$B$5:$Y$123,15,FALSE)</f>
        <v>9425</v>
      </c>
      <c r="G45" s="132">
        <f>VLOOKUP(A45,Iedz_sk!$B$5:$Y$123,16,FALSE)</f>
        <v>9469</v>
      </c>
      <c r="H45" s="132">
        <f>VLOOKUP(A45,Iedz_sk!$B$5:$Y$123,17,FALSE)</f>
        <v>9512</v>
      </c>
      <c r="I45" s="172">
        <f>VLOOKUP(A45,Iedz_sk!$B$5:$Y$123,24,FALSE)</f>
        <v>9817</v>
      </c>
      <c r="J45" s="133">
        <f>VLOOKUP($A45,IKP!$Q$6:$AC$124,11,FALSE)</f>
        <v>122271.65444782563</v>
      </c>
      <c r="K45" s="133">
        <f>VLOOKUP($A45,IKP!$Q$6:$AC$124,12,FALSE)</f>
        <v>129506.90971140361</v>
      </c>
      <c r="L45" s="133">
        <f>VLOOKUP($A45,IKP!$Q$6:$AC$124,13,FALSE)</f>
        <v>135457.74911609793</v>
      </c>
      <c r="M45" s="172">
        <f>VLOOKUP($A45,IKP!$Q$6:$AD$124,14,FALSE)</f>
        <v>172922.67680974538</v>
      </c>
      <c r="N45" s="132">
        <f>((-0.0000000006)*IKP!$J$5 + 0.0461)*J45</f>
        <v>3356.9641150174434</v>
      </c>
      <c r="O45" s="132">
        <f>((-0.0000000006)*IKP!$K$5 + 0.0461)*K45</f>
        <v>3432.4601047360916</v>
      </c>
      <c r="P45" s="132">
        <f>((-0.0000000006)*IKP!$L$5 + 0.0461)*L45</f>
        <v>3489.3135790262513</v>
      </c>
      <c r="Q45" s="172">
        <f>((-0.0000000006)*IKP!$M$5 + 0.0461)*M45</f>
        <v>3715.7456902442268</v>
      </c>
      <c r="R45" s="132">
        <f t="shared" si="5"/>
        <v>805.67138760418641</v>
      </c>
      <c r="S45" s="132">
        <f t="shared" si="6"/>
        <v>823.79042513666207</v>
      </c>
      <c r="T45" s="132">
        <f t="shared" si="7"/>
        <v>837.43525896630035</v>
      </c>
      <c r="U45" s="172">
        <f t="shared" si="4"/>
        <v>891.77896565861454</v>
      </c>
      <c r="V45" s="175"/>
      <c r="W45" s="175"/>
    </row>
    <row r="46" spans="1:23" hidden="1" outlineLevel="1" x14ac:dyDescent="0.3">
      <c r="A46" s="98" t="s">
        <v>41</v>
      </c>
      <c r="B46" s="176" t="s">
        <v>441</v>
      </c>
      <c r="C46" s="176" t="s">
        <v>441</v>
      </c>
      <c r="D46" s="176" t="s">
        <v>176</v>
      </c>
      <c r="E46" s="180">
        <v>490</v>
      </c>
      <c r="F46" s="132">
        <f>VLOOKUP(A46,Iedz_sk!$B$5:$Y$123,15,FALSE)</f>
        <v>8329</v>
      </c>
      <c r="G46" s="132">
        <f>VLOOKUP(A46,Iedz_sk!$B$5:$Y$123,16,FALSE)</f>
        <v>8186</v>
      </c>
      <c r="H46" s="132">
        <f>VLOOKUP(A46,Iedz_sk!$B$5:$Y$123,17,FALSE)</f>
        <v>8043</v>
      </c>
      <c r="I46" s="172">
        <f>VLOOKUP(A46,Iedz_sk!$B$5:$Y$123,24,FALSE)</f>
        <v>7041</v>
      </c>
      <c r="J46" s="133">
        <f>VLOOKUP($A46,IKP!$Q$6:$AC$124,11,FALSE)</f>
        <v>79801.526886964159</v>
      </c>
      <c r="K46" s="133">
        <f>VLOOKUP($A46,IKP!$Q$6:$AC$124,12,FALSE)</f>
        <v>83928.204413497297</v>
      </c>
      <c r="L46" s="133">
        <f>VLOOKUP($A46,IKP!$Q$6:$AC$124,13,FALSE)</f>
        <v>87177.943720422205</v>
      </c>
      <c r="M46" s="172">
        <f>VLOOKUP($A46,IKP!$Q$6:$AD$124,14,FALSE)</f>
        <v>106085.35607051334</v>
      </c>
      <c r="N46" s="132">
        <f>((-0.0000000006)*IKP!$J$5 + 0.0461)*J46</f>
        <v>2190.9482070306794</v>
      </c>
      <c r="O46" s="132">
        <f>((-0.0000000006)*IKP!$K$5 + 0.0461)*K46</f>
        <v>2224.438942705297</v>
      </c>
      <c r="P46" s="132">
        <f>((-0.0000000006)*IKP!$L$5 + 0.0461)*L46</f>
        <v>2245.65360638423</v>
      </c>
      <c r="Q46" s="172">
        <f>((-0.0000000006)*IKP!$M$5 + 0.0461)*M46</f>
        <v>2279.5518314276933</v>
      </c>
      <c r="R46" s="132">
        <f t="shared" si="5"/>
        <v>525.82756968736305</v>
      </c>
      <c r="S46" s="132">
        <f t="shared" si="6"/>
        <v>533.86534624927128</v>
      </c>
      <c r="T46" s="132">
        <f t="shared" si="7"/>
        <v>538.95686553221526</v>
      </c>
      <c r="U46" s="172">
        <f t="shared" si="4"/>
        <v>547.09243954264639</v>
      </c>
      <c r="V46" s="175"/>
      <c r="W46" s="175"/>
    </row>
    <row r="47" spans="1:23" hidden="1" outlineLevel="1" x14ac:dyDescent="0.3">
      <c r="A47" s="98" t="s">
        <v>42</v>
      </c>
      <c r="B47" s="176" t="s">
        <v>42</v>
      </c>
      <c r="C47" s="176" t="s">
        <v>42</v>
      </c>
      <c r="D47" s="176" t="s">
        <v>439</v>
      </c>
      <c r="E47" s="180">
        <v>1872</v>
      </c>
      <c r="F47" s="132">
        <f>VLOOKUP(A47,Iedz_sk!$B$5:$Y$123,15,FALSE)</f>
        <v>19619</v>
      </c>
      <c r="G47" s="132">
        <f>VLOOKUP(A47,Iedz_sk!$B$5:$Y$123,16,FALSE)</f>
        <v>19190</v>
      </c>
      <c r="H47" s="132">
        <f>VLOOKUP(A47,Iedz_sk!$B$5:$Y$123,17,FALSE)</f>
        <v>18761</v>
      </c>
      <c r="I47" s="172">
        <f>VLOOKUP(A47,Iedz_sk!$B$5:$Y$123,24,FALSE)</f>
        <v>15759</v>
      </c>
      <c r="J47" s="133">
        <f>VLOOKUP($A47,IKP!$Q$6:$AC$124,11,FALSE)</f>
        <v>185267.86546574108</v>
      </c>
      <c r="K47" s="133">
        <f>VLOOKUP($A47,IKP!$Q$6:$AC$124,12,FALSE)</f>
        <v>194974.95894886088</v>
      </c>
      <c r="L47" s="133">
        <f>VLOOKUP($A47,IKP!$Q$6:$AC$124,13,FALSE)</f>
        <v>202662.64167122671</v>
      </c>
      <c r="M47" s="172">
        <f>VLOOKUP($A47,IKP!$Q$6:$AD$124,14,FALSE)</f>
        <v>248151.66535993211</v>
      </c>
      <c r="N47" s="132">
        <f>((-0.0000000006)*IKP!$J$5 + 0.0461)*J47</f>
        <v>5086.5229463281566</v>
      </c>
      <c r="O47" s="132">
        <f>((-0.0000000006)*IKP!$K$5 + 0.0461)*K47</f>
        <v>5167.629816091523</v>
      </c>
      <c r="P47" s="132">
        <f>((-0.0000000006)*IKP!$L$5 + 0.0461)*L47</f>
        <v>5220.4728940140349</v>
      </c>
      <c r="Q47" s="172">
        <f>((-0.0000000006)*IKP!$M$5 + 0.0461)*M47</f>
        <v>5332.2588922364548</v>
      </c>
      <c r="R47" s="132">
        <f t="shared" si="5"/>
        <v>1220.7655071187576</v>
      </c>
      <c r="S47" s="132">
        <f t="shared" si="6"/>
        <v>1240.2311558619656</v>
      </c>
      <c r="T47" s="132">
        <f t="shared" si="7"/>
        <v>1252.9134945633684</v>
      </c>
      <c r="U47" s="172">
        <f t="shared" si="4"/>
        <v>1279.7421341367492</v>
      </c>
      <c r="V47" s="175"/>
      <c r="W47" s="175"/>
    </row>
    <row r="48" spans="1:23" hidden="1" outlineLevel="1" x14ac:dyDescent="0.3">
      <c r="A48" s="98" t="s">
        <v>43</v>
      </c>
      <c r="B48" s="176" t="s">
        <v>25</v>
      </c>
      <c r="C48" s="176" t="s">
        <v>25</v>
      </c>
      <c r="D48" s="176" t="s">
        <v>438</v>
      </c>
      <c r="E48" s="180">
        <v>312</v>
      </c>
      <c r="F48" s="132">
        <f>VLOOKUP(A48,Iedz_sk!$B$5:$Y$123,15,FALSE)</f>
        <v>8411</v>
      </c>
      <c r="G48" s="132">
        <f>VLOOKUP(A48,Iedz_sk!$B$5:$Y$123,16,FALSE)</f>
        <v>8295</v>
      </c>
      <c r="H48" s="132">
        <f>VLOOKUP(A48,Iedz_sk!$B$5:$Y$123,17,FALSE)</f>
        <v>8179</v>
      </c>
      <c r="I48" s="172">
        <f>VLOOKUP(A48,Iedz_sk!$B$5:$Y$123,24,FALSE)</f>
        <v>7365</v>
      </c>
      <c r="J48" s="133">
        <f>VLOOKUP($A48,IKP!$Q$6:$AC$124,11,FALSE)</f>
        <v>71781.167239180388</v>
      </c>
      <c r="K48" s="133">
        <f>VLOOKUP($A48,IKP!$Q$6:$AC$124,12,FALSE)</f>
        <v>75631.814531654236</v>
      </c>
      <c r="L48" s="133">
        <f>VLOOKUP($A48,IKP!$Q$6:$AC$124,13,FALSE)</f>
        <v>78710.009517524421</v>
      </c>
      <c r="M48" s="172">
        <f>VLOOKUP($A48,IKP!$Q$6:$AD$124,14,FALSE)</f>
        <v>97208.976461450933</v>
      </c>
      <c r="N48" s="132">
        <f>((-0.0000000006)*IKP!$J$5 + 0.0461)*J48</f>
        <v>1970.7495056331059</v>
      </c>
      <c r="O48" s="132">
        <f>((-0.0000000006)*IKP!$K$5 + 0.0461)*K48</f>
        <v>2004.5508506627846</v>
      </c>
      <c r="P48" s="132">
        <f>((-0.0000000006)*IKP!$L$5 + 0.0461)*L48</f>
        <v>2027.5244997566886</v>
      </c>
      <c r="Q48" s="172">
        <f>((-0.0000000006)*IKP!$M$5 + 0.0461)*M48</f>
        <v>2088.8170481948755</v>
      </c>
      <c r="R48" s="132">
        <f t="shared" si="5"/>
        <v>472.97988135194544</v>
      </c>
      <c r="S48" s="132">
        <f t="shared" si="6"/>
        <v>481.09220415906827</v>
      </c>
      <c r="T48" s="132">
        <f t="shared" si="7"/>
        <v>486.60587994160528</v>
      </c>
      <c r="U48" s="172">
        <f t="shared" si="4"/>
        <v>501.31609156677013</v>
      </c>
      <c r="V48" s="175"/>
      <c r="W48" s="175"/>
    </row>
    <row r="49" spans="1:23" hidden="1" outlineLevel="1" x14ac:dyDescent="0.3">
      <c r="A49" s="98" t="s">
        <v>44</v>
      </c>
      <c r="B49" s="176" t="s">
        <v>76</v>
      </c>
      <c r="C49" s="176" t="s">
        <v>76</v>
      </c>
      <c r="D49" s="176" t="s">
        <v>438</v>
      </c>
      <c r="E49" s="180">
        <v>131</v>
      </c>
      <c r="F49" s="132">
        <f>VLOOKUP(A49,Iedz_sk!$B$5:$Y$123,15,FALSE)</f>
        <v>9967</v>
      </c>
      <c r="G49" s="132">
        <f>VLOOKUP(A49,Iedz_sk!$B$5:$Y$123,16,FALSE)</f>
        <v>10074</v>
      </c>
      <c r="H49" s="132">
        <f>VLOOKUP(A49,Iedz_sk!$B$5:$Y$123,17,FALSE)</f>
        <v>10181</v>
      </c>
      <c r="I49" s="172">
        <f>VLOOKUP(A49,Iedz_sk!$B$5:$Y$123,24,FALSE)</f>
        <v>10930</v>
      </c>
      <c r="J49" s="133">
        <f>VLOOKUP($A49,IKP!$Q$6:$AC$124,11,FALSE)</f>
        <v>129303.08539856531</v>
      </c>
      <c r="K49" s="133">
        <f>VLOOKUP($A49,IKP!$Q$6:$AC$124,12,FALSE)</f>
        <v>137781.4561656648</v>
      </c>
      <c r="L49" s="133">
        <f>VLOOKUP($A49,IKP!$Q$6:$AC$124,13,FALSE)</f>
        <v>144984.79223622716</v>
      </c>
      <c r="M49" s="172">
        <f>VLOOKUP($A49,IKP!$Q$6:$AD$124,14,FALSE)</f>
        <v>192527.7434583393</v>
      </c>
      <c r="N49" s="132">
        <f>((-0.0000000006)*IKP!$J$5 + 0.0461)*J49</f>
        <v>3550.0118126661919</v>
      </c>
      <c r="O49" s="132">
        <f>((-0.0000000006)*IKP!$K$5 + 0.0461)*K49</f>
        <v>3651.769257061082</v>
      </c>
      <c r="P49" s="132">
        <f>((-0.0000000006)*IKP!$L$5 + 0.0461)*L49</f>
        <v>3734.7247212012471</v>
      </c>
      <c r="Q49" s="172">
        <f>((-0.0000000006)*IKP!$M$5 + 0.0461)*M49</f>
        <v>4137.0174589354592</v>
      </c>
      <c r="R49" s="132">
        <f t="shared" si="5"/>
        <v>852.00283503988601</v>
      </c>
      <c r="S49" s="132">
        <f t="shared" si="6"/>
        <v>876.42462169465978</v>
      </c>
      <c r="T49" s="132">
        <f t="shared" si="7"/>
        <v>896.33393308829932</v>
      </c>
      <c r="U49" s="172">
        <f t="shared" si="4"/>
        <v>992.88419014451017</v>
      </c>
      <c r="V49" s="175"/>
      <c r="W49" s="175"/>
    </row>
    <row r="50" spans="1:23" hidden="1" outlineLevel="1" x14ac:dyDescent="0.3">
      <c r="A50" s="98" t="s">
        <v>45</v>
      </c>
      <c r="B50" s="176" t="s">
        <v>443</v>
      </c>
      <c r="C50" s="176" t="s">
        <v>443</v>
      </c>
      <c r="D50" s="176" t="s">
        <v>437</v>
      </c>
      <c r="E50" s="180">
        <v>647</v>
      </c>
      <c r="F50" s="132">
        <f>VLOOKUP(A50,Iedz_sk!$B$5:$Y$123,15,FALSE)</f>
        <v>6374</v>
      </c>
      <c r="G50" s="132">
        <f>VLOOKUP(A50,Iedz_sk!$B$5:$Y$123,16,FALSE)</f>
        <v>6227</v>
      </c>
      <c r="H50" s="132">
        <f>VLOOKUP(A50,Iedz_sk!$B$5:$Y$123,17,FALSE)</f>
        <v>6081</v>
      </c>
      <c r="I50" s="172">
        <f>VLOOKUP(A50,Iedz_sk!$B$5:$Y$123,24,FALSE)</f>
        <v>5054</v>
      </c>
      <c r="J50" s="133">
        <f>VLOOKUP($A50,IKP!$Q$6:$AC$124,11,FALSE)</f>
        <v>41914.794369889132</v>
      </c>
      <c r="K50" s="133">
        <f>VLOOKUP($A50,IKP!$Q$6:$AC$124,12,FALSE)</f>
        <v>44047.159677638592</v>
      </c>
      <c r="L50" s="133">
        <f>VLOOKUP($A50,IKP!$Q$6:$AC$124,13,FALSE)</f>
        <v>45722.716432975896</v>
      </c>
      <c r="M50" s="172">
        <f>VLOOKUP($A50,IKP!$Q$6:$AD$124,14,FALSE)</f>
        <v>55289.633517706956</v>
      </c>
      <c r="N50" s="132">
        <f>((-0.0000000006)*IKP!$J$5 + 0.0461)*J50</f>
        <v>1150.7692541127237</v>
      </c>
      <c r="O50" s="132">
        <f>((-0.0000000006)*IKP!$K$5 + 0.0461)*K50</f>
        <v>1167.428970835228</v>
      </c>
      <c r="P50" s="132">
        <f>((-0.0000000006)*IKP!$L$5 + 0.0461)*L50</f>
        <v>1177.7908341206116</v>
      </c>
      <c r="Q50" s="172">
        <f>((-0.0000000006)*IKP!$M$5 + 0.0461)*M50</f>
        <v>1188.0582769640789</v>
      </c>
      <c r="R50" s="132">
        <f t="shared" si="5"/>
        <v>276.18462098705373</v>
      </c>
      <c r="S50" s="132">
        <f t="shared" si="6"/>
        <v>280.18295300045475</v>
      </c>
      <c r="T50" s="132">
        <f t="shared" si="7"/>
        <v>282.66980018894679</v>
      </c>
      <c r="U50" s="172">
        <f t="shared" si="4"/>
        <v>285.13398647137893</v>
      </c>
      <c r="V50" s="175"/>
      <c r="W50" s="175"/>
    </row>
    <row r="51" spans="1:23" hidden="1" outlineLevel="1" x14ac:dyDescent="0.3">
      <c r="A51" s="98" t="s">
        <v>46</v>
      </c>
      <c r="B51" s="176" t="s">
        <v>100</v>
      </c>
      <c r="C51" s="176" t="s">
        <v>100</v>
      </c>
      <c r="D51" s="176" t="s">
        <v>438</v>
      </c>
      <c r="E51" s="180">
        <v>112</v>
      </c>
      <c r="F51" s="132">
        <f>VLOOKUP(A51,Iedz_sk!$B$5:$Y$123,15,FALSE)</f>
        <v>7622</v>
      </c>
      <c r="G51" s="132">
        <f>VLOOKUP(A51,Iedz_sk!$B$5:$Y$123,16,FALSE)</f>
        <v>7548</v>
      </c>
      <c r="H51" s="132">
        <f>VLOOKUP(A51,Iedz_sk!$B$5:$Y$123,17,FALSE)</f>
        <v>7474</v>
      </c>
      <c r="I51" s="172">
        <f>VLOOKUP(A51,Iedz_sk!$B$5:$Y$123,24,FALSE)</f>
        <v>6957</v>
      </c>
      <c r="J51" s="133">
        <f>VLOOKUP($A51,IKP!$Q$6:$AC$124,11,FALSE)</f>
        <v>98881.119384756166</v>
      </c>
      <c r="K51" s="133">
        <f>VLOOKUP($A51,IKP!$Q$6:$AC$124,12,FALSE)</f>
        <v>103233.51510208833</v>
      </c>
      <c r="L51" s="133">
        <f>VLOOKUP($A51,IKP!$Q$6:$AC$124,13,FALSE)</f>
        <v>106435.1573689777</v>
      </c>
      <c r="M51" s="172">
        <f>VLOOKUP($A51,IKP!$Q$6:$AD$124,14,FALSE)</f>
        <v>122544.87751506557</v>
      </c>
      <c r="N51" s="132">
        <f>((-0.0000000006)*IKP!$J$5 + 0.0461)*J51</f>
        <v>2714.7777702560161</v>
      </c>
      <c r="O51" s="132">
        <f>((-0.0000000006)*IKP!$K$5 + 0.0461)*K51</f>
        <v>2736.1082342959148</v>
      </c>
      <c r="P51" s="132">
        <f>((-0.0000000006)*IKP!$L$5 + 0.0461)*L51</f>
        <v>2741.70833574876</v>
      </c>
      <c r="Q51" s="172">
        <f>((-0.0000000006)*IKP!$M$5 + 0.0461)*M51</f>
        <v>2633.2324301751137</v>
      </c>
      <c r="R51" s="132">
        <f t="shared" si="5"/>
        <v>651.54666486144379</v>
      </c>
      <c r="S51" s="132">
        <f t="shared" si="6"/>
        <v>656.66597623101961</v>
      </c>
      <c r="T51" s="132">
        <f t="shared" si="7"/>
        <v>658.01000057970236</v>
      </c>
      <c r="U51" s="172">
        <f t="shared" si="4"/>
        <v>631.97578324202732</v>
      </c>
      <c r="V51" s="175"/>
      <c r="W51" s="175"/>
    </row>
    <row r="52" spans="1:23" hidden="1" outlineLevel="1" x14ac:dyDescent="0.3">
      <c r="A52" s="98" t="s">
        <v>47</v>
      </c>
      <c r="B52" s="176" t="s">
        <v>11</v>
      </c>
      <c r="C52" s="176" t="s">
        <v>11</v>
      </c>
      <c r="D52" s="176" t="s">
        <v>438</v>
      </c>
      <c r="E52" s="180">
        <v>684</v>
      </c>
      <c r="F52" s="132">
        <f>VLOOKUP(A52,Iedz_sk!$B$5:$Y$123,15,FALSE)</f>
        <v>5039</v>
      </c>
      <c r="G52" s="132">
        <f>VLOOKUP(A52,Iedz_sk!$B$5:$Y$123,16,FALSE)</f>
        <v>4966</v>
      </c>
      <c r="H52" s="132">
        <f>VLOOKUP(A52,Iedz_sk!$B$5:$Y$123,17,FALSE)</f>
        <v>4893</v>
      </c>
      <c r="I52" s="172">
        <f>VLOOKUP(A52,Iedz_sk!$B$5:$Y$123,24,FALSE)</f>
        <v>4382</v>
      </c>
      <c r="J52" s="133">
        <f>VLOOKUP($A52,IKP!$Q$6:$AC$124,11,FALSE)</f>
        <v>43003.840413533464</v>
      </c>
      <c r="K52" s="133">
        <f>VLOOKUP($A52,IKP!$Q$6:$AC$124,12,FALSE)</f>
        <v>45278.793365183235</v>
      </c>
      <c r="L52" s="133">
        <f>VLOOKUP($A52,IKP!$Q$6:$AC$124,13,FALSE)</f>
        <v>47087.428361565835</v>
      </c>
      <c r="M52" s="172">
        <f>VLOOKUP($A52,IKP!$Q$6:$AD$124,14,FALSE)</f>
        <v>57837.031208971894</v>
      </c>
      <c r="N52" s="132">
        <f>((-0.0000000006)*IKP!$J$5 + 0.0461)*J52</f>
        <v>1180.6689762079682</v>
      </c>
      <c r="O52" s="132">
        <f>((-0.0000000006)*IKP!$K$5 + 0.0461)*K52</f>
        <v>1200.072275393778</v>
      </c>
      <c r="P52" s="132">
        <f>((-0.0000000006)*IKP!$L$5 + 0.0461)*L52</f>
        <v>1212.9450271805204</v>
      </c>
      <c r="Q52" s="172">
        <f>((-0.0000000006)*IKP!$M$5 + 0.0461)*M52</f>
        <v>1242.7965112274196</v>
      </c>
      <c r="R52" s="132">
        <f t="shared" si="5"/>
        <v>283.36055428991239</v>
      </c>
      <c r="S52" s="132">
        <f t="shared" si="6"/>
        <v>288.01734609450671</v>
      </c>
      <c r="T52" s="132">
        <f t="shared" si="7"/>
        <v>291.10680652332491</v>
      </c>
      <c r="U52" s="172">
        <f t="shared" si="4"/>
        <v>298.27116269458071</v>
      </c>
      <c r="V52" s="175"/>
      <c r="W52" s="175"/>
    </row>
    <row r="53" spans="1:23" hidden="1" outlineLevel="1" x14ac:dyDescent="0.3">
      <c r="A53" s="98" t="s">
        <v>48</v>
      </c>
      <c r="B53" s="176" t="s">
        <v>31</v>
      </c>
      <c r="C53" s="176" t="s">
        <v>31</v>
      </c>
      <c r="D53" s="176" t="s">
        <v>439</v>
      </c>
      <c r="E53" s="180">
        <v>251</v>
      </c>
      <c r="F53" s="132">
        <f>VLOOKUP(A53,Iedz_sk!$B$5:$Y$123,15,FALSE)</f>
        <v>1992</v>
      </c>
      <c r="G53" s="132">
        <f>VLOOKUP(A53,Iedz_sk!$B$5:$Y$123,16,FALSE)</f>
        <v>1942</v>
      </c>
      <c r="H53" s="132">
        <f>VLOOKUP(A53,Iedz_sk!$B$5:$Y$123,17,FALSE)</f>
        <v>1893</v>
      </c>
      <c r="I53" s="172">
        <f>VLOOKUP(A53,Iedz_sk!$B$5:$Y$123,24,FALSE)</f>
        <v>1545</v>
      </c>
      <c r="J53" s="133">
        <f>VLOOKUP($A53,IKP!$Q$6:$AC$124,11,FALSE)</f>
        <v>18811.029512602898</v>
      </c>
      <c r="K53" s="133">
        <f>VLOOKUP($A53,IKP!$Q$6:$AC$124,12,FALSE)</f>
        <v>19731.18135897279</v>
      </c>
      <c r="L53" s="133">
        <f>VLOOKUP($A53,IKP!$Q$6:$AC$124,13,FALSE)</f>
        <v>20448.823659913232</v>
      </c>
      <c r="M53" s="172">
        <f>VLOOKUP($A53,IKP!$Q$6:$AD$124,14,FALSE)</f>
        <v>24328.5946431306</v>
      </c>
      <c r="N53" s="132">
        <f>((-0.0000000006)*IKP!$J$5 + 0.0461)*J53</f>
        <v>516.45617559945401</v>
      </c>
      <c r="O53" s="132">
        <f>((-0.0000000006)*IKP!$K$5 + 0.0461)*K53</f>
        <v>522.95659733453556</v>
      </c>
      <c r="P53" s="132">
        <f>((-0.0000000006)*IKP!$L$5 + 0.0461)*L53</f>
        <v>526.74991676182333</v>
      </c>
      <c r="Q53" s="172">
        <f>((-0.0000000006)*IKP!$M$5 + 0.0461)*M53</f>
        <v>522.77047963102495</v>
      </c>
      <c r="R53" s="132">
        <f t="shared" si="5"/>
        <v>123.94948214386898</v>
      </c>
      <c r="S53" s="132">
        <f t="shared" si="6"/>
        <v>125.50958336028854</v>
      </c>
      <c r="T53" s="132">
        <f t="shared" si="7"/>
        <v>126.41998002283761</v>
      </c>
      <c r="U53" s="172">
        <f t="shared" si="4"/>
        <v>125.46491511144599</v>
      </c>
      <c r="V53" s="175"/>
      <c r="W53" s="175"/>
    </row>
    <row r="54" spans="1:23" hidden="1" outlineLevel="1" x14ac:dyDescent="0.3">
      <c r="A54" s="98" t="s">
        <v>49</v>
      </c>
      <c r="B54" s="176" t="s">
        <v>108</v>
      </c>
      <c r="C54" s="176" t="s">
        <v>108</v>
      </c>
      <c r="D54" s="176" t="s">
        <v>440</v>
      </c>
      <c r="E54" s="180">
        <v>209</v>
      </c>
      <c r="F54" s="132">
        <f>VLOOKUP(A54,Iedz_sk!$B$5:$Y$123,15,FALSE)</f>
        <v>2188</v>
      </c>
      <c r="G54" s="132">
        <f>VLOOKUP(A54,Iedz_sk!$B$5:$Y$123,16,FALSE)</f>
        <v>2158</v>
      </c>
      <c r="H54" s="132">
        <f>VLOOKUP(A54,Iedz_sk!$B$5:$Y$123,17,FALSE)</f>
        <v>2128</v>
      </c>
      <c r="I54" s="172">
        <f>VLOOKUP(A54,Iedz_sk!$B$5:$Y$123,24,FALSE)</f>
        <v>1918</v>
      </c>
      <c r="J54" s="133">
        <f>VLOOKUP($A54,IKP!$Q$6:$AC$124,11,FALSE)</f>
        <v>28385.186199664982</v>
      </c>
      <c r="K54" s="133">
        <f>VLOOKUP($A54,IKP!$Q$6:$AC$124,12,FALSE)</f>
        <v>29514.828509579576</v>
      </c>
      <c r="L54" s="133">
        <f>VLOOKUP($A54,IKP!$Q$6:$AC$124,13,FALSE)</f>
        <v>30304.256740859586</v>
      </c>
      <c r="M54" s="172">
        <f>VLOOKUP($A54,IKP!$Q$6:$AD$124,14,FALSE)</f>
        <v>33784.831834683879</v>
      </c>
      <c r="N54" s="132">
        <f>((-0.0000000006)*IKP!$J$5 + 0.0461)*J54</f>
        <v>779.31432187354551</v>
      </c>
      <c r="O54" s="132">
        <f>((-0.0000000006)*IKP!$K$5 + 0.0461)*K54</f>
        <v>782.26305903690843</v>
      </c>
      <c r="P54" s="132">
        <f>((-0.0000000006)*IKP!$L$5 + 0.0461)*L54</f>
        <v>780.62019513959876</v>
      </c>
      <c r="Q54" s="172">
        <f>((-0.0000000006)*IKP!$M$5 + 0.0461)*M54</f>
        <v>725.96518629809793</v>
      </c>
      <c r="R54" s="132">
        <f t="shared" si="5"/>
        <v>187.03543724965093</v>
      </c>
      <c r="S54" s="132">
        <f t="shared" si="6"/>
        <v>187.74313416885801</v>
      </c>
      <c r="T54" s="132">
        <f t="shared" si="7"/>
        <v>187.3488468335037</v>
      </c>
      <c r="U54" s="172">
        <f t="shared" si="4"/>
        <v>174.23164471154351</v>
      </c>
      <c r="V54" s="175"/>
      <c r="W54" s="175"/>
    </row>
    <row r="55" spans="1:23" hidden="1" outlineLevel="1" x14ac:dyDescent="0.3">
      <c r="A55" s="98" t="s">
        <v>50</v>
      </c>
      <c r="B55" s="176" t="s">
        <v>50</v>
      </c>
      <c r="C55" s="176" t="s">
        <v>50</v>
      </c>
      <c r="D55" s="176" t="s">
        <v>438</v>
      </c>
      <c r="E55" s="180">
        <v>1317</v>
      </c>
      <c r="F55" s="132">
        <f>VLOOKUP(A55,Iedz_sk!$B$5:$Y$123,15,FALSE)</f>
        <v>22021</v>
      </c>
      <c r="G55" s="132">
        <f>VLOOKUP(A55,Iedz_sk!$B$5:$Y$123,16,FALSE)</f>
        <v>21627</v>
      </c>
      <c r="H55" s="132">
        <f>VLOOKUP(A55,Iedz_sk!$B$5:$Y$123,17,FALSE)</f>
        <v>21232</v>
      </c>
      <c r="I55" s="172">
        <f>VLOOKUP(A55,Iedz_sk!$B$5:$Y$123,24,FALSE)</f>
        <v>18471</v>
      </c>
      <c r="J55" s="133">
        <f>VLOOKUP($A55,IKP!$Q$6:$AC$124,11,FALSE)</f>
        <v>187931.64710188934</v>
      </c>
      <c r="K55" s="133">
        <f>VLOOKUP($A55,IKP!$Q$6:$AC$124,12,FALSE)</f>
        <v>197189.78334853359</v>
      </c>
      <c r="L55" s="133">
        <f>VLOOKUP($A55,IKP!$Q$6:$AC$124,13,FALSE)</f>
        <v>204324.60228341832</v>
      </c>
      <c r="M55" s="172">
        <f>VLOOKUP($A55,IKP!$Q$6:$AD$124,14,FALSE)</f>
        <v>243794.56947989957</v>
      </c>
      <c r="N55" s="132">
        <f>((-0.0000000006)*IKP!$J$5 + 0.0461)*J55</f>
        <v>5159.6569805667132</v>
      </c>
      <c r="O55" s="132">
        <f>((-0.0000000006)*IKP!$K$5 + 0.0461)*K55</f>
        <v>5226.3316753808367</v>
      </c>
      <c r="P55" s="132">
        <f>((-0.0000000006)*IKP!$L$5 + 0.0461)*L55</f>
        <v>5263.2840419163722</v>
      </c>
      <c r="Q55" s="172">
        <f>((-0.0000000006)*IKP!$M$5 + 0.0461)*M55</f>
        <v>5238.6340389962734</v>
      </c>
      <c r="R55" s="132">
        <f t="shared" si="5"/>
        <v>1238.3176753360112</v>
      </c>
      <c r="S55" s="132">
        <f t="shared" si="6"/>
        <v>1254.3196020914008</v>
      </c>
      <c r="T55" s="132">
        <f t="shared" si="7"/>
        <v>1263.1881700599292</v>
      </c>
      <c r="U55" s="172">
        <f t="shared" si="4"/>
        <v>1257.2721693591054</v>
      </c>
      <c r="V55" s="175"/>
      <c r="W55" s="175"/>
    </row>
    <row r="56" spans="1:23" hidden="1" outlineLevel="1" x14ac:dyDescent="0.3">
      <c r="A56" s="98" t="s">
        <v>51</v>
      </c>
      <c r="B56" s="176" t="s">
        <v>51</v>
      </c>
      <c r="C56" s="176" t="s">
        <v>51</v>
      </c>
      <c r="D56" s="176" t="s">
        <v>437</v>
      </c>
      <c r="E56" s="180">
        <v>905</v>
      </c>
      <c r="F56" s="132">
        <f>VLOOKUP(A56,Iedz_sk!$B$5:$Y$123,15,FALSE)</f>
        <v>4164</v>
      </c>
      <c r="G56" s="132">
        <f>VLOOKUP(A56,Iedz_sk!$B$5:$Y$123,16,FALSE)</f>
        <v>4079</v>
      </c>
      <c r="H56" s="132">
        <f>VLOOKUP(A56,Iedz_sk!$B$5:$Y$123,17,FALSE)</f>
        <v>3994</v>
      </c>
      <c r="I56" s="172">
        <f>VLOOKUP(A56,Iedz_sk!$B$5:$Y$123,24,FALSE)</f>
        <v>3397</v>
      </c>
      <c r="J56" s="133">
        <f>VLOOKUP($A56,IKP!$Q$6:$AC$124,11,FALSE)</f>
        <v>35536.414265122708</v>
      </c>
      <c r="K56" s="133">
        <f>VLOOKUP($A56,IKP!$Q$6:$AC$124,12,FALSE)</f>
        <v>37191.340744378256</v>
      </c>
      <c r="L56" s="133">
        <f>VLOOKUP($A56,IKP!$Q$6:$AC$124,13,FALSE)</f>
        <v>38435.967479275278</v>
      </c>
      <c r="M56" s="172">
        <f>VLOOKUP($A56,IKP!$Q$6:$AD$124,14,FALSE)</f>
        <v>44836.238023020887</v>
      </c>
      <c r="N56" s="132">
        <f>((-0.0000000006)*IKP!$J$5 + 0.0461)*J56</f>
        <v>975.651045233177</v>
      </c>
      <c r="O56" s="132">
        <f>((-0.0000000006)*IKP!$K$5 + 0.0461)*K56</f>
        <v>985.72187098896904</v>
      </c>
      <c r="P56" s="132">
        <f>((-0.0000000006)*IKP!$L$5 + 0.0461)*L56</f>
        <v>990.0883790228894</v>
      </c>
      <c r="Q56" s="172">
        <f>((-0.0000000006)*IKP!$M$5 + 0.0461)*M56</f>
        <v>963.43672949327811</v>
      </c>
      <c r="R56" s="132">
        <f t="shared" si="5"/>
        <v>234.15625085596247</v>
      </c>
      <c r="S56" s="132">
        <f t="shared" si="6"/>
        <v>236.57324903735255</v>
      </c>
      <c r="T56" s="132">
        <f t="shared" si="7"/>
        <v>237.62121096549345</v>
      </c>
      <c r="U56" s="172">
        <f t="shared" si="4"/>
        <v>231.22481507838674</v>
      </c>
      <c r="V56" s="175"/>
      <c r="W56" s="175"/>
    </row>
    <row r="57" spans="1:23" hidden="1" outlineLevel="1" x14ac:dyDescent="0.3">
      <c r="A57" s="98" t="s">
        <v>52</v>
      </c>
      <c r="B57" s="176" t="s">
        <v>108</v>
      </c>
      <c r="C57" s="176" t="s">
        <v>108</v>
      </c>
      <c r="D57" s="176" t="s">
        <v>440</v>
      </c>
      <c r="E57" s="180">
        <v>649</v>
      </c>
      <c r="F57" s="132">
        <f>VLOOKUP(A57,Iedz_sk!$B$5:$Y$123,15,FALSE)</f>
        <v>7462</v>
      </c>
      <c r="G57" s="132">
        <f>VLOOKUP(A57,Iedz_sk!$B$5:$Y$123,16,FALSE)</f>
        <v>7332</v>
      </c>
      <c r="H57" s="132">
        <f>VLOOKUP(A57,Iedz_sk!$B$5:$Y$123,17,FALSE)</f>
        <v>7203</v>
      </c>
      <c r="I57" s="172">
        <f>VLOOKUP(A57,Iedz_sk!$B$5:$Y$123,24,FALSE)</f>
        <v>6295</v>
      </c>
      <c r="J57" s="133">
        <f>VLOOKUP($A57,IKP!$Q$6:$AC$124,11,FALSE)</f>
        <v>96805.420211106088</v>
      </c>
      <c r="K57" s="133">
        <f>VLOOKUP($A57,IKP!$Q$6:$AC$124,12,FALSE)</f>
        <v>100279.29686387278</v>
      </c>
      <c r="L57" s="133">
        <f>VLOOKUP($A57,IKP!$Q$6:$AC$124,13,FALSE)</f>
        <v>102575.92166560695</v>
      </c>
      <c r="M57" s="172">
        <f>VLOOKUP($A57,IKP!$Q$6:$AD$124,14,FALSE)</f>
        <v>110884.00229370961</v>
      </c>
      <c r="N57" s="132">
        <f>((-0.0000000006)*IKP!$J$5 + 0.0461)*J57</f>
        <v>2657.7895200276039</v>
      </c>
      <c r="O57" s="132">
        <f>((-0.0000000006)*IKP!$K$5 + 0.0461)*K57</f>
        <v>2657.8094294988937</v>
      </c>
      <c r="P57" s="132">
        <f>((-0.0000000006)*IKP!$L$5 + 0.0461)*L57</f>
        <v>2642.2966473639704</v>
      </c>
      <c r="Q57" s="172">
        <f>((-0.0000000006)*IKP!$M$5 + 0.0461)*M57</f>
        <v>2382.6646755717034</v>
      </c>
      <c r="R57" s="132">
        <f t="shared" si="5"/>
        <v>637.86948480662488</v>
      </c>
      <c r="S57" s="132">
        <f t="shared" si="6"/>
        <v>637.87426307973453</v>
      </c>
      <c r="T57" s="132">
        <f t="shared" si="7"/>
        <v>634.1511953673529</v>
      </c>
      <c r="U57" s="172">
        <f t="shared" si="4"/>
        <v>571.83952213720886</v>
      </c>
      <c r="V57" s="175"/>
      <c r="W57" s="175"/>
    </row>
    <row r="58" spans="1:23" hidden="1" outlineLevel="1" x14ac:dyDescent="0.3">
      <c r="A58" s="98" t="s">
        <v>53</v>
      </c>
      <c r="B58" s="176" t="s">
        <v>67</v>
      </c>
      <c r="C58" s="176" t="s">
        <v>67</v>
      </c>
      <c r="D58" s="176" t="s">
        <v>437</v>
      </c>
      <c r="E58" s="180">
        <v>628</v>
      </c>
      <c r="F58" s="132">
        <f>VLOOKUP(A58,Iedz_sk!$B$5:$Y$123,15,FALSE)</f>
        <v>5127</v>
      </c>
      <c r="G58" s="132">
        <f>VLOOKUP(A58,Iedz_sk!$B$5:$Y$123,16,FALSE)</f>
        <v>5004</v>
      </c>
      <c r="H58" s="132">
        <f>VLOOKUP(A58,Iedz_sk!$B$5:$Y$123,17,FALSE)</f>
        <v>4880</v>
      </c>
      <c r="I58" s="172">
        <f>VLOOKUP(A58,Iedz_sk!$B$5:$Y$123,24,FALSE)</f>
        <v>4017</v>
      </c>
      <c r="J58" s="133">
        <f>VLOOKUP($A58,IKP!$Q$6:$AC$124,11,FALSE)</f>
        <v>33714.645549799432</v>
      </c>
      <c r="K58" s="133">
        <f>VLOOKUP($A58,IKP!$Q$6:$AC$124,12,FALSE)</f>
        <v>35396.175851437853</v>
      </c>
      <c r="L58" s="133">
        <f>VLOOKUP($A58,IKP!$Q$6:$AC$124,13,FALSE)</f>
        <v>36692.461140095766</v>
      </c>
      <c r="M58" s="172">
        <f>VLOOKUP($A58,IKP!$Q$6:$AD$124,14,FALSE)</f>
        <v>43945.084653864033</v>
      </c>
      <c r="N58" s="132">
        <f>((-0.0000000006)*IKP!$J$5 + 0.0461)*J58</f>
        <v>925.63444710322165</v>
      </c>
      <c r="O58" s="132">
        <f>((-0.0000000006)*IKP!$K$5 + 0.0461)*K58</f>
        <v>938.14269633201877</v>
      </c>
      <c r="P58" s="132">
        <f>((-0.0000000006)*IKP!$L$5 + 0.0461)*L58</f>
        <v>945.17666017243619</v>
      </c>
      <c r="Q58" s="172">
        <f>((-0.0000000006)*IKP!$M$5 + 0.0461)*M58</f>
        <v>944.2877124188177</v>
      </c>
      <c r="R58" s="132">
        <f t="shared" si="5"/>
        <v>222.1522673047732</v>
      </c>
      <c r="S58" s="132">
        <f t="shared" si="6"/>
        <v>225.15424711968453</v>
      </c>
      <c r="T58" s="132">
        <f t="shared" si="7"/>
        <v>226.84239844138469</v>
      </c>
      <c r="U58" s="172">
        <f t="shared" si="4"/>
        <v>226.62905098051627</v>
      </c>
      <c r="V58" s="175"/>
      <c r="W58" s="175"/>
    </row>
    <row r="59" spans="1:23" hidden="1" outlineLevel="1" x14ac:dyDescent="0.3">
      <c r="A59" s="98" t="s">
        <v>54</v>
      </c>
      <c r="B59" s="176" t="s">
        <v>442</v>
      </c>
      <c r="C59" s="176" t="s">
        <v>442</v>
      </c>
      <c r="D59" s="176" t="s">
        <v>439</v>
      </c>
      <c r="E59" s="180">
        <v>499</v>
      </c>
      <c r="F59" s="132">
        <f>VLOOKUP(A59,Iedz_sk!$B$5:$Y$123,15,FALSE)</f>
        <v>5776</v>
      </c>
      <c r="G59" s="132">
        <f>VLOOKUP(A59,Iedz_sk!$B$5:$Y$123,16,FALSE)</f>
        <v>5687</v>
      </c>
      <c r="H59" s="132">
        <f>VLOOKUP(A59,Iedz_sk!$B$5:$Y$123,17,FALSE)</f>
        <v>5598</v>
      </c>
      <c r="I59" s="172">
        <f>VLOOKUP(A59,Iedz_sk!$B$5:$Y$123,24,FALSE)</f>
        <v>4975</v>
      </c>
      <c r="J59" s="133">
        <f>VLOOKUP($A59,IKP!$Q$6:$AC$124,11,FALSE)</f>
        <v>54544.430956222051</v>
      </c>
      <c r="K59" s="133">
        <f>VLOOKUP($A59,IKP!$Q$6:$AC$124,12,FALSE)</f>
        <v>57781.271054829172</v>
      </c>
      <c r="L59" s="133">
        <f>VLOOKUP($A59,IKP!$Q$6:$AC$124,13,FALSE)</f>
        <v>60471.481694767186</v>
      </c>
      <c r="M59" s="172">
        <f>VLOOKUP($A59,IKP!$Q$6:$AD$124,14,FALSE)</f>
        <v>78339.649417200475</v>
      </c>
      <c r="N59" s="132">
        <f>((-0.0000000006)*IKP!$J$5 + 0.0461)*J59</f>
        <v>1497.5154971197019</v>
      </c>
      <c r="O59" s="132">
        <f>((-0.0000000006)*IKP!$K$5 + 0.0461)*K59</f>
        <v>1531.4388100110732</v>
      </c>
      <c r="P59" s="132">
        <f>((-0.0000000006)*IKP!$L$5 + 0.0461)*L59</f>
        <v>1557.7105303923336</v>
      </c>
      <c r="Q59" s="172">
        <f>((-0.0000000006)*IKP!$M$5 + 0.0461)*M59</f>
        <v>1683.3547806888994</v>
      </c>
      <c r="R59" s="132">
        <f t="shared" si="5"/>
        <v>359.40371930872845</v>
      </c>
      <c r="S59" s="132">
        <f t="shared" si="6"/>
        <v>367.5453144026576</v>
      </c>
      <c r="T59" s="132">
        <f t="shared" si="7"/>
        <v>373.85052729416009</v>
      </c>
      <c r="U59" s="172">
        <f t="shared" si="4"/>
        <v>404.00514736533586</v>
      </c>
      <c r="V59" s="175"/>
      <c r="W59" s="175"/>
    </row>
    <row r="60" spans="1:23" hidden="1" outlineLevel="1" x14ac:dyDescent="0.3">
      <c r="A60" s="98" t="s">
        <v>55</v>
      </c>
      <c r="B60" s="176" t="s">
        <v>11</v>
      </c>
      <c r="C60" s="176" t="s">
        <v>11</v>
      </c>
      <c r="D60" s="176" t="s">
        <v>438</v>
      </c>
      <c r="E60" s="180">
        <v>361</v>
      </c>
      <c r="F60" s="132">
        <f>VLOOKUP(A60,Iedz_sk!$B$5:$Y$123,15,FALSE)</f>
        <v>4851</v>
      </c>
      <c r="G60" s="132">
        <f>VLOOKUP(A60,Iedz_sk!$B$5:$Y$123,16,FALSE)</f>
        <v>4789</v>
      </c>
      <c r="H60" s="132">
        <f>VLOOKUP(A60,Iedz_sk!$B$5:$Y$123,17,FALSE)</f>
        <v>4727</v>
      </c>
      <c r="I60" s="172">
        <f>VLOOKUP(A60,Iedz_sk!$B$5:$Y$123,24,FALSE)</f>
        <v>4292</v>
      </c>
      <c r="J60" s="133">
        <f>VLOOKUP($A60,IKP!$Q$6:$AC$124,11,FALSE)</f>
        <v>41399.410566789207</v>
      </c>
      <c r="K60" s="133">
        <f>VLOOKUP($A60,IKP!$Q$6:$AC$124,12,FALSE)</f>
        <v>43664.949944797125</v>
      </c>
      <c r="L60" s="133">
        <f>VLOOKUP($A60,IKP!$Q$6:$AC$124,13,FALSE)</f>
        <v>45489.939477850334</v>
      </c>
      <c r="M60" s="172">
        <f>VLOOKUP($A60,IKP!$Q$6:$AD$124,14,FALSE)</f>
        <v>56649.141476245408</v>
      </c>
      <c r="N60" s="132">
        <f>((-0.0000000006)*IKP!$J$5 + 0.0461)*J60</f>
        <v>1136.6194093242416</v>
      </c>
      <c r="O60" s="132">
        <f>((-0.0000000006)*IKP!$K$5 + 0.0461)*K60</f>
        <v>1157.298857603867</v>
      </c>
      <c r="P60" s="132">
        <f>((-0.0000000006)*IKP!$L$5 + 0.0461)*L60</f>
        <v>1171.7946338610911</v>
      </c>
      <c r="Q60" s="172">
        <f>((-0.0000000006)*IKP!$M$5 + 0.0461)*M60</f>
        <v>1217.2712519826757</v>
      </c>
      <c r="R60" s="132">
        <f t="shared" si="5"/>
        <v>272.78865823781797</v>
      </c>
      <c r="S60" s="132">
        <f t="shared" si="6"/>
        <v>277.75172582492809</v>
      </c>
      <c r="T60" s="132">
        <f t="shared" si="7"/>
        <v>281.2307121266619</v>
      </c>
      <c r="U60" s="172">
        <f t="shared" si="4"/>
        <v>292.14510047584218</v>
      </c>
      <c r="V60" s="175"/>
      <c r="W60" s="175"/>
    </row>
    <row r="61" spans="1:23" hidden="1" outlineLevel="1" x14ac:dyDescent="0.3">
      <c r="A61" s="98" t="s">
        <v>56</v>
      </c>
      <c r="B61" s="176" t="s">
        <v>56</v>
      </c>
      <c r="C61" s="176" t="s">
        <v>56</v>
      </c>
      <c r="D61" s="176" t="s">
        <v>437</v>
      </c>
      <c r="E61" s="180">
        <v>1079</v>
      </c>
      <c r="F61" s="132">
        <f>VLOOKUP(A61,Iedz_sk!$B$5:$Y$123,15,FALSE)</f>
        <v>13533</v>
      </c>
      <c r="G61" s="132">
        <f>VLOOKUP(A61,Iedz_sk!$B$5:$Y$123,16,FALSE)</f>
        <v>13158</v>
      </c>
      <c r="H61" s="132">
        <f>VLOOKUP(A61,Iedz_sk!$B$5:$Y$123,17,FALSE)</f>
        <v>12782</v>
      </c>
      <c r="I61" s="172">
        <f>VLOOKUP(A61,Iedz_sk!$B$5:$Y$123,24,FALSE)</f>
        <v>10155</v>
      </c>
      <c r="J61" s="133">
        <f>VLOOKUP($A61,IKP!$Q$6:$AC$124,11,FALSE)</f>
        <v>88991.671196691183</v>
      </c>
      <c r="K61" s="133">
        <f>VLOOKUP($A61,IKP!$Q$6:$AC$124,12,FALSE)</f>
        <v>93074.117076982264</v>
      </c>
      <c r="L61" s="133">
        <f>VLOOKUP($A61,IKP!$Q$6:$AC$124,13,FALSE)</f>
        <v>96107.17997801314</v>
      </c>
      <c r="M61" s="172">
        <f>VLOOKUP($A61,IKP!$Q$6:$AD$124,14,FALSE)</f>
        <v>111093.43655961895</v>
      </c>
      <c r="N61" s="132">
        <f>((-0.0000000006)*IKP!$J$5 + 0.0461)*J61</f>
        <v>2443.2633065433779</v>
      </c>
      <c r="O61" s="132">
        <f>((-0.0000000006)*IKP!$K$5 + 0.0461)*K61</f>
        <v>2466.8428453910274</v>
      </c>
      <c r="P61" s="132">
        <f>((-0.0000000006)*IKP!$L$5 + 0.0461)*L61</f>
        <v>2475.6655881811639</v>
      </c>
      <c r="Q61" s="172">
        <f>((-0.0000000006)*IKP!$M$5 + 0.0461)*M61</f>
        <v>2387.1649787436136</v>
      </c>
      <c r="R61" s="132">
        <f t="shared" si="5"/>
        <v>586.38319357041064</v>
      </c>
      <c r="S61" s="132">
        <f t="shared" si="6"/>
        <v>592.04228289384662</v>
      </c>
      <c r="T61" s="132">
        <f t="shared" si="7"/>
        <v>594.15974116347934</v>
      </c>
      <c r="U61" s="172">
        <f t="shared" si="4"/>
        <v>572.91959489846727</v>
      </c>
      <c r="V61" s="175"/>
      <c r="W61" s="175"/>
    </row>
    <row r="62" spans="1:23" hidden="1" outlineLevel="1" x14ac:dyDescent="0.3">
      <c r="A62" s="98" t="s">
        <v>57</v>
      </c>
      <c r="B62" s="176" t="s">
        <v>100</v>
      </c>
      <c r="C62" s="176" t="s">
        <v>100</v>
      </c>
      <c r="D62" s="176" t="s">
        <v>438</v>
      </c>
      <c r="E62" s="180">
        <v>341</v>
      </c>
      <c r="F62" s="132">
        <f>VLOOKUP(A62,Iedz_sk!$B$5:$Y$123,15,FALSE)</f>
        <v>4833</v>
      </c>
      <c r="G62" s="132">
        <f>VLOOKUP(A62,Iedz_sk!$B$5:$Y$123,16,FALSE)</f>
        <v>4764</v>
      </c>
      <c r="H62" s="132">
        <f>VLOOKUP(A62,Iedz_sk!$B$5:$Y$123,17,FALSE)</f>
        <v>4694</v>
      </c>
      <c r="I62" s="172">
        <f>VLOOKUP(A62,Iedz_sk!$B$5:$Y$123,24,FALSE)</f>
        <v>4209</v>
      </c>
      <c r="J62" s="133">
        <f>VLOOKUP($A62,IKP!$Q$6:$AC$124,11,FALSE)</f>
        <v>62699.088164068038</v>
      </c>
      <c r="K62" s="133">
        <f>VLOOKUP($A62,IKP!$Q$6:$AC$124,12,FALSE)</f>
        <v>65156.924476198838</v>
      </c>
      <c r="L62" s="133">
        <f>VLOOKUP($A62,IKP!$Q$6:$AC$124,13,FALSE)</f>
        <v>66845.949784584067</v>
      </c>
      <c r="M62" s="172">
        <f>VLOOKUP($A62,IKP!$Q$6:$AD$124,14,FALSE)</f>
        <v>74139.915115841737</v>
      </c>
      <c r="N62" s="132">
        <f>((-0.0000000006)*IKP!$J$5 + 0.0461)*J62</f>
        <v>1721.4013334619951</v>
      </c>
      <c r="O62" s="132">
        <f>((-0.0000000006)*IKP!$K$5 + 0.0461)*K62</f>
        <v>1726.9236391343056</v>
      </c>
      <c r="P62" s="132">
        <f>((-0.0000000006)*IKP!$L$5 + 0.0461)*L62</f>
        <v>1721.9131560081187</v>
      </c>
      <c r="Q62" s="172">
        <f>((-0.0000000006)*IKP!$M$5 + 0.0461)*M62</f>
        <v>1593.111297773042</v>
      </c>
      <c r="R62" s="132">
        <f t="shared" si="5"/>
        <v>413.13632003087884</v>
      </c>
      <c r="S62" s="132">
        <f t="shared" si="6"/>
        <v>414.46167339223337</v>
      </c>
      <c r="T62" s="132">
        <f t="shared" si="7"/>
        <v>413.2591574419485</v>
      </c>
      <c r="U62" s="172">
        <f t="shared" si="4"/>
        <v>382.34671146553012</v>
      </c>
      <c r="V62" s="175"/>
      <c r="W62" s="175"/>
    </row>
    <row r="63" spans="1:23" hidden="1" outlineLevel="1" x14ac:dyDescent="0.3">
      <c r="A63" s="98" t="s">
        <v>58</v>
      </c>
      <c r="B63" s="176" t="s">
        <v>51</v>
      </c>
      <c r="C63" s="176" t="s">
        <v>51</v>
      </c>
      <c r="D63" s="176" t="s">
        <v>437</v>
      </c>
      <c r="E63" s="180">
        <v>811</v>
      </c>
      <c r="F63" s="132">
        <f>VLOOKUP(A63,Iedz_sk!$B$5:$Y$123,15,FALSE)</f>
        <v>5461</v>
      </c>
      <c r="G63" s="132">
        <f>VLOOKUP(A63,Iedz_sk!$B$5:$Y$123,16,FALSE)</f>
        <v>5389</v>
      </c>
      <c r="H63" s="132">
        <f>VLOOKUP(A63,Iedz_sk!$B$5:$Y$123,17,FALSE)</f>
        <v>5317</v>
      </c>
      <c r="I63" s="172">
        <f>VLOOKUP(A63,Iedz_sk!$B$5:$Y$123,24,FALSE)</f>
        <v>4811</v>
      </c>
      <c r="J63" s="133">
        <f>VLOOKUP($A63,IKP!$Q$6:$AC$124,11,FALSE)</f>
        <v>46605.273367395566</v>
      </c>
      <c r="K63" s="133">
        <f>VLOOKUP($A63,IKP!$Q$6:$AC$124,12,FALSE)</f>
        <v>49135.605607122925</v>
      </c>
      <c r="L63" s="133">
        <f>VLOOKUP($A63,IKP!$Q$6:$AC$124,13,FALSE)</f>
        <v>51167.761413947585</v>
      </c>
      <c r="M63" s="172">
        <f>VLOOKUP($A63,IKP!$Q$6:$AD$124,14,FALSE)</f>
        <v>63499.30560163482</v>
      </c>
      <c r="N63" s="132">
        <f>((-0.0000000006)*IKP!$J$5 + 0.0461)*J63</f>
        <v>1279.5461954895245</v>
      </c>
      <c r="O63" s="132">
        <f>((-0.0000000006)*IKP!$K$5 + 0.0461)*K63</f>
        <v>1302.2934941798367</v>
      </c>
      <c r="P63" s="132">
        <f>((-0.0000000006)*IKP!$L$5 + 0.0461)*L63</f>
        <v>1318.0520559000258</v>
      </c>
      <c r="Q63" s="172">
        <f>((-0.0000000006)*IKP!$M$5 + 0.0461)*M63</f>
        <v>1364.4669136273656</v>
      </c>
      <c r="R63" s="132">
        <f t="shared" si="5"/>
        <v>307.09108691748588</v>
      </c>
      <c r="S63" s="132">
        <f t="shared" si="6"/>
        <v>312.55043860316084</v>
      </c>
      <c r="T63" s="132">
        <f t="shared" si="7"/>
        <v>316.33249341600623</v>
      </c>
      <c r="U63" s="172">
        <f t="shared" si="4"/>
        <v>327.47205927056774</v>
      </c>
      <c r="V63" s="175"/>
      <c r="W63" s="175"/>
    </row>
    <row r="64" spans="1:23" hidden="1" outlineLevel="1" x14ac:dyDescent="0.3">
      <c r="A64" s="98" t="s">
        <v>59</v>
      </c>
      <c r="B64" s="176" t="s">
        <v>59</v>
      </c>
      <c r="C64" s="176" t="s">
        <v>59</v>
      </c>
      <c r="D64" s="176" t="s">
        <v>440</v>
      </c>
      <c r="E64" s="180">
        <v>1757</v>
      </c>
      <c r="F64" s="132">
        <f>VLOOKUP(A64,Iedz_sk!$B$5:$Y$123,15,FALSE)</f>
        <v>21907</v>
      </c>
      <c r="G64" s="132">
        <f>VLOOKUP(A64,Iedz_sk!$B$5:$Y$123,16,FALSE)</f>
        <v>21570</v>
      </c>
      <c r="H64" s="132">
        <f>VLOOKUP(A64,Iedz_sk!$B$5:$Y$123,17,FALSE)</f>
        <v>21234</v>
      </c>
      <c r="I64" s="172">
        <f>VLOOKUP(A64,Iedz_sk!$B$5:$Y$123,24,FALSE)</f>
        <v>18878</v>
      </c>
      <c r="J64" s="133">
        <f>VLOOKUP($A64,IKP!$Q$6:$AC$124,11,FALSE)</f>
        <v>209894.59112891389</v>
      </c>
      <c r="K64" s="133">
        <f>VLOOKUP($A64,IKP!$Q$6:$AC$124,12,FALSE)</f>
        <v>221149.69083791066</v>
      </c>
      <c r="L64" s="133">
        <f>VLOOKUP($A64,IKP!$Q$6:$AC$124,13,FALSE)</f>
        <v>230154.97413396061</v>
      </c>
      <c r="M64" s="172">
        <f>VLOOKUP($A64,IKP!$Q$6:$AD$124,14,FALSE)</f>
        <v>284431.09670489293</v>
      </c>
      <c r="N64" s="132">
        <f>((-0.0000000006)*IKP!$J$5 + 0.0461)*J64</f>
        <v>5762.6488619787606</v>
      </c>
      <c r="O64" s="132">
        <f>((-0.0000000006)*IKP!$K$5 + 0.0461)*K64</f>
        <v>5861.3667229603298</v>
      </c>
      <c r="P64" s="132">
        <f>((-0.0000000006)*IKP!$L$5 + 0.0461)*L64</f>
        <v>5928.6595397193505</v>
      </c>
      <c r="Q64" s="172">
        <f>((-0.0000000006)*IKP!$M$5 + 0.0461)*M64</f>
        <v>6111.8277906109934</v>
      </c>
      <c r="R64" s="132">
        <f t="shared" si="5"/>
        <v>1383.0357268749026</v>
      </c>
      <c r="S64" s="132">
        <f t="shared" si="6"/>
        <v>1406.7280135104791</v>
      </c>
      <c r="T64" s="132">
        <f t="shared" si="7"/>
        <v>1422.878289532644</v>
      </c>
      <c r="U64" s="172">
        <f t="shared" si="4"/>
        <v>1466.8386697466385</v>
      </c>
      <c r="V64" s="175"/>
      <c r="W64" s="175"/>
    </row>
    <row r="65" spans="1:23" hidden="1" outlineLevel="1" x14ac:dyDescent="0.3">
      <c r="A65" s="98" t="s">
        <v>60</v>
      </c>
      <c r="B65" s="176" t="s">
        <v>76</v>
      </c>
      <c r="C65" s="176" t="s">
        <v>76</v>
      </c>
      <c r="D65" s="176" t="s">
        <v>438</v>
      </c>
      <c r="E65" s="180">
        <v>492</v>
      </c>
      <c r="F65" s="132">
        <f>VLOOKUP(A65,Iedz_sk!$B$5:$Y$123,15,FALSE)</f>
        <v>5313</v>
      </c>
      <c r="G65" s="132">
        <f>VLOOKUP(A65,Iedz_sk!$B$5:$Y$123,16,FALSE)</f>
        <v>5254</v>
      </c>
      <c r="H65" s="132">
        <f>VLOOKUP(A65,Iedz_sk!$B$5:$Y$123,17,FALSE)</f>
        <v>5196</v>
      </c>
      <c r="I65" s="172">
        <f>VLOOKUP(A65,Iedz_sk!$B$5:$Y$123,24,FALSE)</f>
        <v>4786</v>
      </c>
      <c r="J65" s="133">
        <f>VLOOKUP($A65,IKP!$Q$6:$AC$124,11,FALSE)</f>
        <v>68926.18568501831</v>
      </c>
      <c r="K65" s="133">
        <f>VLOOKUP($A65,IKP!$Q$6:$AC$124,12,FALSE)</f>
        <v>71858.623257336003</v>
      </c>
      <c r="L65" s="133">
        <f>VLOOKUP($A65,IKP!$Q$6:$AC$124,13,FALSE)</f>
        <v>73994.792305219176</v>
      </c>
      <c r="M65" s="172">
        <f>VLOOKUP($A65,IKP!$Q$6:$AD$124,14,FALSE)</f>
        <v>84303.548050467696</v>
      </c>
      <c r="N65" s="132">
        <f>((-0.0000000006)*IKP!$J$5 + 0.0461)*J65</f>
        <v>1892.3660841472338</v>
      </c>
      <c r="O65" s="132">
        <f>((-0.0000000006)*IKP!$K$5 + 0.0461)*K65</f>
        <v>1904.5459277942155</v>
      </c>
      <c r="P65" s="132">
        <f>((-0.0000000006)*IKP!$L$5 + 0.0461)*L65</f>
        <v>1906.0632208389825</v>
      </c>
      <c r="Q65" s="172">
        <f>((-0.0000000006)*IKP!$M$5 + 0.0461)*M65</f>
        <v>1811.5064554862861</v>
      </c>
      <c r="R65" s="132">
        <f t="shared" si="5"/>
        <v>454.16786019533612</v>
      </c>
      <c r="S65" s="132">
        <f t="shared" si="6"/>
        <v>457.09102267061172</v>
      </c>
      <c r="T65" s="132">
        <f t="shared" si="7"/>
        <v>457.45517300135577</v>
      </c>
      <c r="U65" s="172">
        <f t="shared" si="4"/>
        <v>434.76154931670868</v>
      </c>
      <c r="V65" s="175"/>
      <c r="W65" s="175"/>
    </row>
    <row r="66" spans="1:23" hidden="1" outlineLevel="1" x14ac:dyDescent="0.3">
      <c r="A66" s="98" t="s">
        <v>61</v>
      </c>
      <c r="B66" s="176" t="s">
        <v>61</v>
      </c>
      <c r="C66" s="176" t="s">
        <v>61</v>
      </c>
      <c r="D66" s="176" t="s">
        <v>438</v>
      </c>
      <c r="E66" s="180">
        <v>275</v>
      </c>
      <c r="F66" s="132">
        <f>VLOOKUP(A66,Iedz_sk!$B$5:$Y$123,15,FALSE)</f>
        <v>24631</v>
      </c>
      <c r="G66" s="132">
        <f>VLOOKUP(A66,Iedz_sk!$B$5:$Y$123,16,FALSE)</f>
        <v>24660</v>
      </c>
      <c r="H66" s="132">
        <f>VLOOKUP(A66,Iedz_sk!$B$5:$Y$123,17,FALSE)</f>
        <v>24688</v>
      </c>
      <c r="I66" s="172">
        <f>VLOOKUP(A66,Iedz_sk!$B$5:$Y$123,24,FALSE)</f>
        <v>24889</v>
      </c>
      <c r="J66" s="133">
        <f>VLOOKUP($A66,IKP!$Q$6:$AC$124,11,FALSE)</f>
        <v>319540.91466359608</v>
      </c>
      <c r="K66" s="133">
        <f>VLOOKUP($A66,IKP!$Q$6:$AC$124,12,FALSE)</f>
        <v>337273.24886294361</v>
      </c>
      <c r="L66" s="133">
        <f>VLOOKUP($A66,IKP!$Q$6:$AC$124,13,FALSE)</f>
        <v>351574.9485048597</v>
      </c>
      <c r="M66" s="172">
        <f>VLOOKUP($A66,IKP!$Q$6:$AD$124,14,FALSE)</f>
        <v>438410.15616968041</v>
      </c>
      <c r="N66" s="132">
        <f>((-0.0000000006)*IKP!$J$5 + 0.0461)*J66</f>
        <v>8772.9849461002286</v>
      </c>
      <c r="O66" s="132">
        <f>((-0.0000000006)*IKP!$K$5 + 0.0461)*K66</f>
        <v>8939.1135476599447</v>
      </c>
      <c r="P66" s="132">
        <f>((-0.0000000006)*IKP!$L$5 + 0.0461)*L66</f>
        <v>9056.3681285744424</v>
      </c>
      <c r="Q66" s="172">
        <f>((-0.0000000006)*IKP!$M$5 + 0.0461)*M66</f>
        <v>9420.5148705804786</v>
      </c>
      <c r="R66" s="132">
        <f t="shared" si="5"/>
        <v>2105.5163870640549</v>
      </c>
      <c r="S66" s="132">
        <f t="shared" si="6"/>
        <v>2145.3872514383866</v>
      </c>
      <c r="T66" s="132">
        <f t="shared" si="7"/>
        <v>2173.5283508578664</v>
      </c>
      <c r="U66" s="172">
        <f t="shared" si="4"/>
        <v>2260.9235689393149</v>
      </c>
      <c r="V66" s="175"/>
      <c r="W66" s="175"/>
    </row>
    <row r="67" spans="1:23" hidden="1" outlineLevel="1" x14ac:dyDescent="0.3">
      <c r="A67" s="98" t="s">
        <v>62</v>
      </c>
      <c r="B67" s="176" t="s">
        <v>76</v>
      </c>
      <c r="C67" s="176" t="s">
        <v>76</v>
      </c>
      <c r="D67" s="176" t="s">
        <v>438</v>
      </c>
      <c r="E67" s="180">
        <v>225</v>
      </c>
      <c r="F67" s="132">
        <f>VLOOKUP(A67,Iedz_sk!$B$5:$Y$123,15,FALSE)</f>
        <v>9547</v>
      </c>
      <c r="G67" s="132">
        <f>VLOOKUP(A67,Iedz_sk!$B$5:$Y$123,16,FALSE)</f>
        <v>9451</v>
      </c>
      <c r="H67" s="132">
        <f>VLOOKUP(A67,Iedz_sk!$B$5:$Y$123,17,FALSE)</f>
        <v>9356</v>
      </c>
      <c r="I67" s="172">
        <f>VLOOKUP(A67,Iedz_sk!$B$5:$Y$123,24,FALSE)</f>
        <v>8686</v>
      </c>
      <c r="J67" s="133">
        <f>VLOOKUP($A67,IKP!$Q$6:$AC$124,11,FALSE)</f>
        <v>123854.37506773382</v>
      </c>
      <c r="K67" s="133">
        <f>VLOOKUP($A67,IKP!$Q$6:$AC$124,12,FALSE)</f>
        <v>129260.72485821898</v>
      </c>
      <c r="L67" s="133">
        <f>VLOOKUP($A67,IKP!$Q$6:$AC$124,13,FALSE)</f>
        <v>133236.19646028301</v>
      </c>
      <c r="M67" s="172">
        <f>VLOOKUP($A67,IKP!$Q$6:$AD$124,14,FALSE)</f>
        <v>153000.54708866746</v>
      </c>
      <c r="N67" s="132">
        <f>((-0.0000000006)*IKP!$J$5 + 0.0461)*J67</f>
        <v>3400.4176558166087</v>
      </c>
      <c r="O67" s="132">
        <f>((-0.0000000006)*IKP!$K$5 + 0.0461)*K67</f>
        <v>3425.9352043363397</v>
      </c>
      <c r="P67" s="132">
        <f>((-0.0000000006)*IKP!$L$5 + 0.0461)*L67</f>
        <v>3432.0876624652656</v>
      </c>
      <c r="Q67" s="172">
        <f>((-0.0000000006)*IKP!$M$5 + 0.0461)*M67</f>
        <v>3287.6609010350776</v>
      </c>
      <c r="R67" s="132">
        <f t="shared" si="5"/>
        <v>816.10023739598614</v>
      </c>
      <c r="S67" s="132">
        <f t="shared" si="6"/>
        <v>822.22444904072165</v>
      </c>
      <c r="T67" s="132">
        <f t="shared" si="7"/>
        <v>823.70103899166372</v>
      </c>
      <c r="U67" s="172">
        <f t="shared" si="4"/>
        <v>789.03861624841863</v>
      </c>
      <c r="V67" s="175"/>
      <c r="W67" s="175"/>
    </row>
    <row r="68" spans="1:23" hidden="1" outlineLevel="1" x14ac:dyDescent="0.3">
      <c r="A68" s="98" t="s">
        <v>63</v>
      </c>
      <c r="B68" s="176" t="s">
        <v>63</v>
      </c>
      <c r="C68" s="176" t="s">
        <v>63</v>
      </c>
      <c r="D68" s="176" t="s">
        <v>439</v>
      </c>
      <c r="E68" s="180">
        <v>1170</v>
      </c>
      <c r="F68" s="132">
        <f>VLOOKUP(A68,Iedz_sk!$B$5:$Y$123,15,FALSE)</f>
        <v>16744</v>
      </c>
      <c r="G68" s="132">
        <f>VLOOKUP(A68,Iedz_sk!$B$5:$Y$123,16,FALSE)</f>
        <v>16441</v>
      </c>
      <c r="H68" s="132">
        <f>VLOOKUP(A68,Iedz_sk!$B$5:$Y$123,17,FALSE)</f>
        <v>16138</v>
      </c>
      <c r="I68" s="172">
        <f>VLOOKUP(A68,Iedz_sk!$B$5:$Y$123,24,FALSE)</f>
        <v>14017</v>
      </c>
      <c r="J68" s="133">
        <f>VLOOKUP($A68,IKP!$Q$6:$AC$124,11,FALSE)</f>
        <v>217221.91852248195</v>
      </c>
      <c r="K68" s="133">
        <f>VLOOKUP($A68,IKP!$Q$6:$AC$124,12,FALSE)</f>
        <v>224862.50951158378</v>
      </c>
      <c r="L68" s="133">
        <f>VLOOKUP($A68,IKP!$Q$6:$AC$124,13,FALSE)</f>
        <v>229816.77409962029</v>
      </c>
      <c r="M68" s="172">
        <f>VLOOKUP($A68,IKP!$Q$6:$AD$124,14,FALSE)</f>
        <v>246904.06038934513</v>
      </c>
      <c r="N68" s="132">
        <f>((-0.0000000006)*IKP!$J$5 + 0.0461)*J68</f>
        <v>5963.8203864034031</v>
      </c>
      <c r="O68" s="132">
        <f>((-0.0000000006)*IKP!$K$5 + 0.0461)*K68</f>
        <v>5959.7715262399497</v>
      </c>
      <c r="P68" s="132">
        <f>((-0.0000000006)*IKP!$L$5 + 0.0461)*L68</f>
        <v>5919.9477016742685</v>
      </c>
      <c r="Q68" s="172">
        <f>((-0.0000000006)*IKP!$M$5 + 0.0461)*M68</f>
        <v>5305.4504777583106</v>
      </c>
      <c r="R68" s="132">
        <f t="shared" si="5"/>
        <v>1431.3168927368167</v>
      </c>
      <c r="S68" s="132">
        <f t="shared" si="6"/>
        <v>1430.3451662975881</v>
      </c>
      <c r="T68" s="132">
        <f t="shared" si="7"/>
        <v>1420.7874484018243</v>
      </c>
      <c r="U68" s="172">
        <f t="shared" si="4"/>
        <v>1273.3081146619945</v>
      </c>
      <c r="V68" s="175"/>
      <c r="W68" s="175"/>
    </row>
    <row r="69" spans="1:23" hidden="1" outlineLevel="1" x14ac:dyDescent="0.3">
      <c r="A69" s="98" t="s">
        <v>64</v>
      </c>
      <c r="B69" s="176" t="s">
        <v>31</v>
      </c>
      <c r="C69" s="176" t="s">
        <v>31</v>
      </c>
      <c r="D69" s="176" t="s">
        <v>439</v>
      </c>
      <c r="E69" s="180">
        <v>168</v>
      </c>
      <c r="F69" s="132">
        <f>VLOOKUP(A69,Iedz_sk!$B$5:$Y$123,15,FALSE)</f>
        <v>3258</v>
      </c>
      <c r="G69" s="132">
        <f>VLOOKUP(A69,Iedz_sk!$B$5:$Y$123,16,FALSE)</f>
        <v>3171</v>
      </c>
      <c r="H69" s="132">
        <f>VLOOKUP(A69,Iedz_sk!$B$5:$Y$123,17,FALSE)</f>
        <v>3085</v>
      </c>
      <c r="I69" s="172">
        <f>VLOOKUP(A69,Iedz_sk!$B$5:$Y$123,24,FALSE)</f>
        <v>2478</v>
      </c>
      <c r="J69" s="133">
        <f>VLOOKUP($A69,IKP!$Q$6:$AC$124,11,FALSE)</f>
        <v>30766.232004046302</v>
      </c>
      <c r="K69" s="133">
        <f>VLOOKUP($A69,IKP!$Q$6:$AC$124,12,FALSE)</f>
        <v>32218.113331257835</v>
      </c>
      <c r="L69" s="133">
        <f>VLOOKUP($A69,IKP!$Q$6:$AC$124,13,FALSE)</f>
        <v>33325.209186916174</v>
      </c>
      <c r="M69" s="172">
        <f>VLOOKUP($A69,IKP!$Q$6:$AD$124,14,FALSE)</f>
        <v>39020.231408205582</v>
      </c>
      <c r="N69" s="132">
        <f>((-0.0000000006)*IKP!$J$5 + 0.0461)*J69</f>
        <v>844.68585346537202</v>
      </c>
      <c r="O69" s="132">
        <f>((-0.0000000006)*IKP!$K$5 + 0.0461)*K69</f>
        <v>853.91110718218965</v>
      </c>
      <c r="P69" s="132">
        <f>((-0.0000000006)*IKP!$L$5 + 0.0461)*L69</f>
        <v>858.43818975711827</v>
      </c>
      <c r="Q69" s="172">
        <f>((-0.0000000006)*IKP!$M$5 + 0.0461)*M69</f>
        <v>838.4629440295663</v>
      </c>
      <c r="R69" s="132">
        <f t="shared" si="5"/>
        <v>202.72460483168931</v>
      </c>
      <c r="S69" s="132">
        <f t="shared" si="6"/>
        <v>204.93866572372551</v>
      </c>
      <c r="T69" s="132">
        <f t="shared" si="7"/>
        <v>206.02516554170839</v>
      </c>
      <c r="U69" s="172">
        <f t="shared" si="4"/>
        <v>201.23110656709591</v>
      </c>
      <c r="V69" s="175"/>
      <c r="W69" s="175"/>
    </row>
    <row r="70" spans="1:23" hidden="1" outlineLevel="1" x14ac:dyDescent="0.3">
      <c r="A70" s="98" t="s">
        <v>65</v>
      </c>
      <c r="B70" s="176" t="s">
        <v>65</v>
      </c>
      <c r="C70" s="176" t="s">
        <v>65</v>
      </c>
      <c r="D70" s="176" t="s">
        <v>437</v>
      </c>
      <c r="E70" s="180">
        <v>622</v>
      </c>
      <c r="F70" s="132">
        <f>VLOOKUP(A70,Iedz_sk!$B$5:$Y$123,15,FALSE)</f>
        <v>10636</v>
      </c>
      <c r="G70" s="132">
        <f>VLOOKUP(A70,Iedz_sk!$B$5:$Y$123,16,FALSE)</f>
        <v>10414</v>
      </c>
      <c r="H70" s="132">
        <f>VLOOKUP(A70,Iedz_sk!$B$5:$Y$123,17,FALSE)</f>
        <v>10192</v>
      </c>
      <c r="I70" s="172">
        <f>VLOOKUP(A70,Iedz_sk!$B$5:$Y$123,24,FALSE)</f>
        <v>8637</v>
      </c>
      <c r="J70" s="133">
        <f>VLOOKUP($A70,IKP!$Q$6:$AC$124,11,FALSE)</f>
        <v>69941.285365255855</v>
      </c>
      <c r="K70" s="133">
        <f>VLOOKUP($A70,IKP!$Q$6:$AC$124,12,FALSE)</f>
        <v>73664.223684427212</v>
      </c>
      <c r="L70" s="133">
        <f>VLOOKUP($A70,IKP!$Q$6:$AC$124,13,FALSE)</f>
        <v>76633.107364724608</v>
      </c>
      <c r="M70" s="172">
        <f>VLOOKUP($A70,IKP!$Q$6:$AD$124,14,FALSE)</f>
        <v>94486.854905507513</v>
      </c>
      <c r="N70" s="132">
        <f>((-0.0000000006)*IKP!$J$5 + 0.0461)*J70</f>
        <v>1920.235611349691</v>
      </c>
      <c r="O70" s="132">
        <f>((-0.0000000006)*IKP!$K$5 + 0.0461)*K70</f>
        <v>1952.4016865710717</v>
      </c>
      <c r="P70" s="132">
        <f>((-0.0000000006)*IKP!$L$5 + 0.0461)*L70</f>
        <v>1974.0246968191539</v>
      </c>
      <c r="Q70" s="172">
        <f>((-0.0000000006)*IKP!$M$5 + 0.0461)*M70</f>
        <v>2030.3243644912445</v>
      </c>
      <c r="R70" s="132">
        <f t="shared" si="5"/>
        <v>460.85654672392582</v>
      </c>
      <c r="S70" s="132">
        <f t="shared" si="6"/>
        <v>468.57640477705718</v>
      </c>
      <c r="T70" s="132">
        <f t="shared" si="7"/>
        <v>473.76592723659689</v>
      </c>
      <c r="U70" s="172">
        <f t="shared" si="4"/>
        <v>487.27784747789872</v>
      </c>
      <c r="V70" s="175"/>
      <c r="W70" s="175"/>
    </row>
    <row r="71" spans="1:23" hidden="1" outlineLevel="1" x14ac:dyDescent="0.3">
      <c r="A71" s="98" t="s">
        <v>66</v>
      </c>
      <c r="B71" s="176" t="s">
        <v>68</v>
      </c>
      <c r="C71" s="176" t="s">
        <v>68</v>
      </c>
      <c r="D71" s="176" t="s">
        <v>439</v>
      </c>
      <c r="E71" s="180">
        <v>347</v>
      </c>
      <c r="F71" s="132">
        <f>VLOOKUP(A71,Iedz_sk!$B$5:$Y$123,15,FALSE)</f>
        <v>2163</v>
      </c>
      <c r="G71" s="132">
        <f>VLOOKUP(A71,Iedz_sk!$B$5:$Y$123,16,FALSE)</f>
        <v>2123</v>
      </c>
      <c r="H71" s="132">
        <f>VLOOKUP(A71,Iedz_sk!$B$5:$Y$123,17,FALSE)</f>
        <v>2083</v>
      </c>
      <c r="I71" s="172">
        <f>VLOOKUP(A71,Iedz_sk!$B$5:$Y$123,24,FALSE)</f>
        <v>1805</v>
      </c>
      <c r="J71" s="133">
        <f>VLOOKUP($A71,IKP!$Q$6:$AC$124,11,FALSE)</f>
        <v>20425.831744859472</v>
      </c>
      <c r="K71" s="133">
        <f>VLOOKUP($A71,IKP!$Q$6:$AC$124,12,FALSE)</f>
        <v>21570.184358959439</v>
      </c>
      <c r="L71" s="133">
        <f>VLOOKUP($A71,IKP!$Q$6:$AC$124,13,FALSE)</f>
        <v>22501.267661700615</v>
      </c>
      <c r="M71" s="172">
        <f>VLOOKUP($A71,IKP!$Q$6:$AD$124,14,FALSE)</f>
        <v>28422.72707498429</v>
      </c>
      <c r="N71" s="132">
        <f>((-0.0000000006)*IKP!$J$5 + 0.0461)*J71</f>
        <v>560.79051597470834</v>
      </c>
      <c r="O71" s="132">
        <f>((-0.0000000006)*IKP!$K$5 + 0.0461)*K71</f>
        <v>571.69766021689964</v>
      </c>
      <c r="P71" s="132">
        <f>((-0.0000000006)*IKP!$L$5 + 0.0461)*L71</f>
        <v>579.61969181979816</v>
      </c>
      <c r="Q71" s="172">
        <f>((-0.0000000006)*IKP!$M$5 + 0.0461)*M71</f>
        <v>610.74479982783168</v>
      </c>
      <c r="R71" s="132">
        <f t="shared" ref="R71:R102" si="8">N71*$X$6*$X$5</f>
        <v>134.58972383393001</v>
      </c>
      <c r="S71" s="132">
        <f t="shared" ref="S71:S102" si="9">O71*$X$6*$X$5</f>
        <v>137.20743845205592</v>
      </c>
      <c r="T71" s="132">
        <f t="shared" ref="T71:T102" si="10">P71*$X$6*$X$5</f>
        <v>139.10872603675156</v>
      </c>
      <c r="U71" s="172">
        <f t="shared" ref="U71:U124" si="11">Q71*$X$6*$X$5</f>
        <v>146.57875195867962</v>
      </c>
      <c r="V71" s="175"/>
      <c r="W71" s="175"/>
    </row>
    <row r="72" spans="1:23" hidden="1" outlineLevel="1" x14ac:dyDescent="0.3">
      <c r="A72" s="98" t="s">
        <v>67</v>
      </c>
      <c r="B72" s="176" t="s">
        <v>67</v>
      </c>
      <c r="C72" s="176" t="s">
        <v>67</v>
      </c>
      <c r="D72" s="176" t="s">
        <v>437</v>
      </c>
      <c r="E72" s="180">
        <v>965</v>
      </c>
      <c r="F72" s="132">
        <f>VLOOKUP(A72,Iedz_sk!$B$5:$Y$123,15,FALSE)</f>
        <v>11739</v>
      </c>
      <c r="G72" s="132">
        <f>VLOOKUP(A72,Iedz_sk!$B$5:$Y$123,16,FALSE)</f>
        <v>11499</v>
      </c>
      <c r="H72" s="132">
        <f>VLOOKUP(A72,Iedz_sk!$B$5:$Y$123,17,FALSE)</f>
        <v>11259</v>
      </c>
      <c r="I72" s="172">
        <f>VLOOKUP(A72,Iedz_sk!$B$5:$Y$123,24,FALSE)</f>
        <v>9579</v>
      </c>
      <c r="J72" s="133">
        <f>VLOOKUP($A72,IKP!$Q$6:$AC$124,11,FALSE)</f>
        <v>77194.504409809932</v>
      </c>
      <c r="K72" s="133">
        <f>VLOOKUP($A72,IKP!$Q$6:$AC$124,12,FALSE)</f>
        <v>81339.053979952805</v>
      </c>
      <c r="L72" s="133">
        <f>VLOOKUP($A72,IKP!$Q$6:$AC$124,13,FALSE)</f>
        <v>84655.823765643087</v>
      </c>
      <c r="M72" s="172">
        <f>VLOOKUP($A72,IKP!$Q$6:$AD$124,14,FALSE)</f>
        <v>104792.12494382962</v>
      </c>
      <c r="N72" s="132">
        <f>((-0.0000000006)*IKP!$J$5 + 0.0461)*J72</f>
        <v>2119.3724935722094</v>
      </c>
      <c r="O72" s="132">
        <f>((-0.0000000006)*IKP!$K$5 + 0.0461)*K72</f>
        <v>2155.8159202881461</v>
      </c>
      <c r="P72" s="132">
        <f>((-0.0000000006)*IKP!$L$5 + 0.0461)*L72</f>
        <v>2180.6852493609549</v>
      </c>
      <c r="Q72" s="172">
        <f>((-0.0000000006)*IKP!$M$5 + 0.0461)*M72</f>
        <v>2251.7630065371809</v>
      </c>
      <c r="R72" s="132">
        <f t="shared" si="8"/>
        <v>508.64939845733022</v>
      </c>
      <c r="S72" s="132">
        <f t="shared" si="9"/>
        <v>517.39582086915505</v>
      </c>
      <c r="T72" s="132">
        <f t="shared" si="10"/>
        <v>523.36445984662919</v>
      </c>
      <c r="U72" s="172">
        <f t="shared" si="11"/>
        <v>540.42312156892342</v>
      </c>
      <c r="V72" s="175"/>
      <c r="W72" s="175"/>
    </row>
    <row r="73" spans="1:23" hidden="1" outlineLevel="1" x14ac:dyDescent="0.3">
      <c r="A73" s="98" t="s">
        <v>68</v>
      </c>
      <c r="B73" s="176" t="s">
        <v>68</v>
      </c>
      <c r="C73" s="176" t="s">
        <v>68</v>
      </c>
      <c r="D73" s="176" t="s">
        <v>439</v>
      </c>
      <c r="E73" s="180">
        <v>2159</v>
      </c>
      <c r="F73" s="132">
        <f>VLOOKUP(A73,Iedz_sk!$B$5:$Y$123,15,FALSE)</f>
        <v>21676</v>
      </c>
      <c r="G73" s="132">
        <f>VLOOKUP(A73,Iedz_sk!$B$5:$Y$123,16,FALSE)</f>
        <v>21228</v>
      </c>
      <c r="H73" s="132">
        <f>VLOOKUP(A73,Iedz_sk!$B$5:$Y$123,17,FALSE)</f>
        <v>20780</v>
      </c>
      <c r="I73" s="172">
        <f>VLOOKUP(A73,Iedz_sk!$B$5:$Y$123,24,FALSE)</f>
        <v>17645</v>
      </c>
      <c r="J73" s="133">
        <f>VLOOKUP($A73,IKP!$Q$6:$AC$124,11,FALSE)</f>
        <v>204692.70869235962</v>
      </c>
      <c r="K73" s="133">
        <f>VLOOKUP($A73,IKP!$Q$6:$AC$124,12,FALSE)</f>
        <v>215681.52311445642</v>
      </c>
      <c r="L73" s="133">
        <f>VLOOKUP($A73,IKP!$Q$6:$AC$124,13,FALSE)</f>
        <v>224472.55977443053</v>
      </c>
      <c r="M73" s="172">
        <f>VLOOKUP($A73,IKP!$Q$6:$AD$124,14,FALSE)</f>
        <v>277849.87215407082</v>
      </c>
      <c r="N73" s="132">
        <f>((-0.0000000006)*IKP!$J$5 + 0.0461)*J73</f>
        <v>5619.8313565731751</v>
      </c>
      <c r="O73" s="132">
        <f>((-0.0000000006)*IKP!$K$5 + 0.0461)*K73</f>
        <v>5716.4380268885279</v>
      </c>
      <c r="P73" s="132">
        <f>((-0.0000000006)*IKP!$L$5 + 0.0461)*L73</f>
        <v>5782.2838194985152</v>
      </c>
      <c r="Q73" s="172">
        <f>((-0.0000000006)*IKP!$M$5 + 0.0461)*M73</f>
        <v>5970.4110764332918</v>
      </c>
      <c r="R73" s="132">
        <f t="shared" si="8"/>
        <v>1348.759525577562</v>
      </c>
      <c r="S73" s="132">
        <f t="shared" si="9"/>
        <v>1371.9451264532468</v>
      </c>
      <c r="T73" s="132">
        <f t="shared" si="10"/>
        <v>1387.7481166796435</v>
      </c>
      <c r="U73" s="172">
        <f t="shared" si="11"/>
        <v>1432.8986583439898</v>
      </c>
      <c r="V73" s="175"/>
      <c r="W73" s="175"/>
    </row>
    <row r="74" spans="1:23" hidden="1" outlineLevel="1" x14ac:dyDescent="0.3">
      <c r="A74" s="98" t="s">
        <v>69</v>
      </c>
      <c r="B74" s="176" t="s">
        <v>442</v>
      </c>
      <c r="C74" s="176" t="s">
        <v>442</v>
      </c>
      <c r="D74" s="176" t="s">
        <v>439</v>
      </c>
      <c r="E74" s="180">
        <v>417</v>
      </c>
      <c r="F74" s="132">
        <f>VLOOKUP(A74,Iedz_sk!$B$5:$Y$123,15,FALSE)</f>
        <v>2867</v>
      </c>
      <c r="G74" s="132">
        <f>VLOOKUP(A74,Iedz_sk!$B$5:$Y$123,16,FALSE)</f>
        <v>2790</v>
      </c>
      <c r="H74" s="132">
        <f>VLOOKUP(A74,Iedz_sk!$B$5:$Y$123,17,FALSE)</f>
        <v>2714</v>
      </c>
      <c r="I74" s="172">
        <f>VLOOKUP(A74,Iedz_sk!$B$5:$Y$123,24,FALSE)</f>
        <v>2177</v>
      </c>
      <c r="J74" s="133">
        <f>VLOOKUP($A74,IKP!$Q$6:$AC$124,11,FALSE)</f>
        <v>27073.90643204443</v>
      </c>
      <c r="K74" s="133">
        <f>VLOOKUP($A74,IKP!$Q$6:$AC$124,12,FALSE)</f>
        <v>28347.062817473779</v>
      </c>
      <c r="L74" s="133">
        <f>VLOOKUP($A74,IKP!$Q$6:$AC$124,13,FALSE)</f>
        <v>29317.542215005025</v>
      </c>
      <c r="M74" s="172">
        <f>VLOOKUP($A74,IKP!$Q$6:$AD$124,14,FALSE)</f>
        <v>34280.485785174962</v>
      </c>
      <c r="N74" s="132">
        <f>((-0.0000000006)*IKP!$J$5 + 0.0461)*J74</f>
        <v>743.3131804435917</v>
      </c>
      <c r="O74" s="132">
        <f>((-0.0000000006)*IKP!$K$5 + 0.0461)*K74</f>
        <v>751.31251625301456</v>
      </c>
      <c r="P74" s="132">
        <f>((-0.0000000006)*IKP!$L$5 + 0.0461)*L74</f>
        <v>755.20299740707264</v>
      </c>
      <c r="Q74" s="172">
        <f>((-0.0000000006)*IKP!$M$5 + 0.0461)*M74</f>
        <v>736.61575026326307</v>
      </c>
      <c r="R74" s="132">
        <f t="shared" si="8"/>
        <v>178.39516330646202</v>
      </c>
      <c r="S74" s="132">
        <f t="shared" si="9"/>
        <v>180.3150039007235</v>
      </c>
      <c r="T74" s="132">
        <f t="shared" si="10"/>
        <v>181.24871937769746</v>
      </c>
      <c r="U74" s="172">
        <f t="shared" si="11"/>
        <v>176.78778006318313</v>
      </c>
      <c r="V74" s="175"/>
      <c r="W74" s="175"/>
    </row>
    <row r="75" spans="1:23" hidden="1" outlineLevel="1" x14ac:dyDescent="0.3">
      <c r="A75" s="98" t="s">
        <v>70</v>
      </c>
      <c r="B75" s="176" t="s">
        <v>100</v>
      </c>
      <c r="C75" s="176" t="s">
        <v>100</v>
      </c>
      <c r="D75" s="176" t="s">
        <v>438</v>
      </c>
      <c r="E75" s="180">
        <v>221</v>
      </c>
      <c r="F75" s="132">
        <f>VLOOKUP(A75,Iedz_sk!$B$5:$Y$123,15,FALSE)</f>
        <v>3324</v>
      </c>
      <c r="G75" s="132">
        <f>VLOOKUP(A75,Iedz_sk!$B$5:$Y$123,16,FALSE)</f>
        <v>3296</v>
      </c>
      <c r="H75" s="132">
        <f>VLOOKUP(A75,Iedz_sk!$B$5:$Y$123,17,FALSE)</f>
        <v>3268</v>
      </c>
      <c r="I75" s="172">
        <f>VLOOKUP(A75,Iedz_sk!$B$5:$Y$123,24,FALSE)</f>
        <v>3070</v>
      </c>
      <c r="J75" s="133">
        <f>VLOOKUP($A75,IKP!$Q$6:$AC$124,11,FALSE)</f>
        <v>43122.650332580626</v>
      </c>
      <c r="K75" s="133">
        <f>VLOOKUP($A75,IKP!$Q$6:$AC$124,12,FALSE)</f>
        <v>45079.182005363429</v>
      </c>
      <c r="L75" s="133">
        <f>VLOOKUP($A75,IKP!$Q$6:$AC$124,13,FALSE)</f>
        <v>46538.679994891507</v>
      </c>
      <c r="M75" s="172">
        <f>VLOOKUP($A75,IKP!$Q$6:$AD$124,14,FALSE)</f>
        <v>54076.868473659808</v>
      </c>
      <c r="N75" s="132">
        <f>((-0.0000000006)*IKP!$J$5 + 0.0461)*J75</f>
        <v>1183.9308984952768</v>
      </c>
      <c r="O75" s="132">
        <f>((-0.0000000006)*IKP!$K$5 + 0.0461)*K75</f>
        <v>1194.7817620878823</v>
      </c>
      <c r="P75" s="132">
        <f>((-0.0000000006)*IKP!$L$5 + 0.0461)*L75</f>
        <v>1198.8095853929551</v>
      </c>
      <c r="Q75" s="172">
        <f>((-0.0000000006)*IKP!$M$5 + 0.0461)*M75</f>
        <v>1161.998499444818</v>
      </c>
      <c r="R75" s="132">
        <f t="shared" si="8"/>
        <v>284.14341563886643</v>
      </c>
      <c r="S75" s="132">
        <f t="shared" si="9"/>
        <v>286.74762290109175</v>
      </c>
      <c r="T75" s="132">
        <f t="shared" si="10"/>
        <v>287.71430049430921</v>
      </c>
      <c r="U75" s="172">
        <f t="shared" si="11"/>
        <v>278.87963986675629</v>
      </c>
      <c r="V75" s="175"/>
      <c r="W75" s="175"/>
    </row>
    <row r="76" spans="1:23" hidden="1" outlineLevel="1" x14ac:dyDescent="0.3">
      <c r="A76" s="98" t="s">
        <v>71</v>
      </c>
      <c r="B76" s="176" t="s">
        <v>71</v>
      </c>
      <c r="C76" s="176" t="s">
        <v>71</v>
      </c>
      <c r="D76" s="176" t="s">
        <v>438</v>
      </c>
      <c r="E76" s="180">
        <v>104</v>
      </c>
      <c r="F76" s="132">
        <f>VLOOKUP(A76,Iedz_sk!$B$5:$Y$123,15,FALSE)</f>
        <v>21577</v>
      </c>
      <c r="G76" s="132">
        <f>VLOOKUP(A76,Iedz_sk!$B$5:$Y$123,16,FALSE)</f>
        <v>22373</v>
      </c>
      <c r="H76" s="132">
        <f>VLOOKUP(A76,Iedz_sk!$B$5:$Y$123,17,FALSE)</f>
        <v>23169</v>
      </c>
      <c r="I76" s="172">
        <f>VLOOKUP(A76,Iedz_sk!$B$5:$Y$123,24,FALSE)</f>
        <v>28740</v>
      </c>
      <c r="J76" s="133">
        <f>VLOOKUP($A76,IKP!$Q$6:$AC$124,11,FALSE)</f>
        <v>279921.00668654998</v>
      </c>
      <c r="K76" s="133">
        <f>VLOOKUP($A76,IKP!$Q$6:$AC$124,12,FALSE)</f>
        <v>305994.09557220753</v>
      </c>
      <c r="L76" s="133">
        <f>VLOOKUP($A76,IKP!$Q$6:$AC$124,13,FALSE)</f>
        <v>329943.29155496979</v>
      </c>
      <c r="M76" s="172">
        <f>VLOOKUP($A76,IKP!$Q$6:$AD$124,14,FALSE)</f>
        <v>506244.03906611819</v>
      </c>
      <c r="N76" s="132">
        <f>((-0.0000000006)*IKP!$J$5 + 0.0461)*J76</f>
        <v>7685.2217198653989</v>
      </c>
      <c r="O76" s="132">
        <f>((-0.0000000006)*IKP!$K$5 + 0.0461)*K76</f>
        <v>8110.0887024248159</v>
      </c>
      <c r="P76" s="132">
        <f>((-0.0000000006)*IKP!$L$5 + 0.0461)*L76</f>
        <v>8499.1491077017672</v>
      </c>
      <c r="Q76" s="172">
        <f>((-0.0000000006)*IKP!$M$5 + 0.0461)*M76</f>
        <v>10878.12276027494</v>
      </c>
      <c r="R76" s="132">
        <f t="shared" si="8"/>
        <v>1844.4532127676957</v>
      </c>
      <c r="S76" s="132">
        <f t="shared" si="9"/>
        <v>1946.4212885819559</v>
      </c>
      <c r="T76" s="132">
        <f t="shared" si="10"/>
        <v>2039.7957858484242</v>
      </c>
      <c r="U76" s="172">
        <f t="shared" si="11"/>
        <v>2610.7494624659857</v>
      </c>
      <c r="V76" s="175"/>
      <c r="W76" s="175"/>
    </row>
    <row r="77" spans="1:23" hidden="1" outlineLevel="1" x14ac:dyDescent="0.3">
      <c r="A77" s="98" t="s">
        <v>72</v>
      </c>
      <c r="B77" s="176" t="s">
        <v>106</v>
      </c>
      <c r="C77" s="176" t="s">
        <v>106</v>
      </c>
      <c r="D77" s="176" t="s">
        <v>440</v>
      </c>
      <c r="E77" s="180">
        <v>110</v>
      </c>
      <c r="F77" s="132">
        <f>VLOOKUP(A77,Iedz_sk!$B$5:$Y$123,15,FALSE)</f>
        <v>1431</v>
      </c>
      <c r="G77" s="132">
        <f>VLOOKUP(A77,Iedz_sk!$B$5:$Y$123,16,FALSE)</f>
        <v>1408</v>
      </c>
      <c r="H77" s="132">
        <f>VLOOKUP(A77,Iedz_sk!$B$5:$Y$123,17,FALSE)</f>
        <v>1385</v>
      </c>
      <c r="I77" s="172">
        <f>VLOOKUP(A77,Iedz_sk!$B$5:$Y$123,24,FALSE)</f>
        <v>1222</v>
      </c>
      <c r="J77" s="133">
        <f>VLOOKUP($A77,IKP!$Q$6:$AC$124,11,FALSE)</f>
        <v>13710.647733851087</v>
      </c>
      <c r="K77" s="133">
        <f>VLOOKUP($A77,IKP!$Q$6:$AC$124,12,FALSE)</f>
        <v>14435.733180332787</v>
      </c>
      <c r="L77" s="133">
        <f>VLOOKUP($A77,IKP!$Q$6:$AC$124,13,FALSE)</f>
        <v>15011.99204933293</v>
      </c>
      <c r="M77" s="172">
        <f>VLOOKUP($A77,IKP!$Q$6:$AD$124,14,FALSE)</f>
        <v>18411.632597382093</v>
      </c>
      <c r="N77" s="132">
        <f>((-0.0000000006)*IKP!$J$5 + 0.0461)*J77</f>
        <v>376.42536730230546</v>
      </c>
      <c r="O77" s="132">
        <f>((-0.0000000006)*IKP!$K$5 + 0.0461)*K77</f>
        <v>382.60567204117496</v>
      </c>
      <c r="P77" s="132">
        <f>((-0.0000000006)*IKP!$L$5 + 0.0461)*L77</f>
        <v>386.70026667190831</v>
      </c>
      <c r="Q77" s="172">
        <f>((-0.0000000006)*IKP!$M$5 + 0.0461)*M77</f>
        <v>395.62737366917224</v>
      </c>
      <c r="R77" s="132">
        <f t="shared" si="8"/>
        <v>90.342088152553302</v>
      </c>
      <c r="S77" s="132">
        <f t="shared" si="9"/>
        <v>91.825361289881997</v>
      </c>
      <c r="T77" s="132">
        <f t="shared" si="10"/>
        <v>92.808064001257989</v>
      </c>
      <c r="U77" s="172">
        <f t="shared" si="11"/>
        <v>94.950569680601333</v>
      </c>
      <c r="V77" s="175"/>
      <c r="W77" s="175"/>
    </row>
    <row r="78" spans="1:23" hidden="1" outlineLevel="1" x14ac:dyDescent="0.3">
      <c r="A78" s="98" t="s">
        <v>73</v>
      </c>
      <c r="B78" s="176" t="s">
        <v>442</v>
      </c>
      <c r="C78" s="176" t="s">
        <v>442</v>
      </c>
      <c r="D78" s="176" t="s">
        <v>439</v>
      </c>
      <c r="E78" s="180">
        <v>281</v>
      </c>
      <c r="F78" s="132">
        <f>VLOOKUP(A78,Iedz_sk!$B$5:$Y$123,15,FALSE)</f>
        <v>1689</v>
      </c>
      <c r="G78" s="132">
        <f>VLOOKUP(A78,Iedz_sk!$B$5:$Y$123,16,FALSE)</f>
        <v>1642</v>
      </c>
      <c r="H78" s="132">
        <f>VLOOKUP(A78,Iedz_sk!$B$5:$Y$123,17,FALSE)</f>
        <v>1596</v>
      </c>
      <c r="I78" s="172">
        <f>VLOOKUP(A78,Iedz_sk!$B$5:$Y$123,24,FALSE)</f>
        <v>1270</v>
      </c>
      <c r="J78" s="133">
        <f>VLOOKUP($A78,IKP!$Q$6:$AC$124,11,FALSE)</f>
        <v>15949.713276499142</v>
      </c>
      <c r="K78" s="133">
        <f>VLOOKUP($A78,IKP!$Q$6:$AC$124,12,FALSE)</f>
        <v>16683.110088276684</v>
      </c>
      <c r="L78" s="133">
        <f>VLOOKUP($A78,IKP!$Q$6:$AC$124,13,FALSE)</f>
        <v>17240.529615014009</v>
      </c>
      <c r="M78" s="172">
        <f>VLOOKUP($A78,IKP!$Q$6:$AD$124,14,FALSE)</f>
        <v>19998.262263285345</v>
      </c>
      <c r="N78" s="132">
        <f>((-0.0000000006)*IKP!$J$5 + 0.0461)*J78</f>
        <v>437.89883563628405</v>
      </c>
      <c r="O78" s="132">
        <f>((-0.0000000006)*IKP!$K$5 + 0.0461)*K78</f>
        <v>442.17030526431898</v>
      </c>
      <c r="P78" s="132">
        <f>((-0.0000000006)*IKP!$L$5 + 0.0461)*L78</f>
        <v>444.10611048698894</v>
      </c>
      <c r="Q78" s="172">
        <f>((-0.0000000006)*IKP!$M$5 + 0.0461)*M78</f>
        <v>429.7207178844024</v>
      </c>
      <c r="R78" s="132">
        <f t="shared" si="8"/>
        <v>105.09572055270817</v>
      </c>
      <c r="S78" s="132">
        <f t="shared" si="9"/>
        <v>106.12087326343655</v>
      </c>
      <c r="T78" s="132">
        <f t="shared" si="10"/>
        <v>106.58546651687735</v>
      </c>
      <c r="U78" s="172">
        <f t="shared" si="11"/>
        <v>103.13297229225658</v>
      </c>
      <c r="V78" s="175"/>
      <c r="W78" s="175"/>
    </row>
    <row r="79" spans="1:23" hidden="1" outlineLevel="1" x14ac:dyDescent="0.3">
      <c r="A79" s="98" t="s">
        <v>74</v>
      </c>
      <c r="B79" s="176" t="s">
        <v>11</v>
      </c>
      <c r="C79" s="176" t="s">
        <v>11</v>
      </c>
      <c r="D79" s="176" t="s">
        <v>438</v>
      </c>
      <c r="E79" s="180">
        <v>645</v>
      </c>
      <c r="F79" s="132">
        <f>VLOOKUP(A79,Iedz_sk!$B$5:$Y$123,15,FALSE)</f>
        <v>3278</v>
      </c>
      <c r="G79" s="132">
        <f>VLOOKUP(A79,Iedz_sk!$B$5:$Y$123,16,FALSE)</f>
        <v>3221</v>
      </c>
      <c r="H79" s="132">
        <f>VLOOKUP(A79,Iedz_sk!$B$5:$Y$123,17,FALSE)</f>
        <v>3164</v>
      </c>
      <c r="I79" s="172">
        <f>VLOOKUP(A79,Iedz_sk!$B$5:$Y$123,24,FALSE)</f>
        <v>2766</v>
      </c>
      <c r="J79" s="133">
        <f>VLOOKUP($A79,IKP!$Q$6:$AC$124,11,FALSE)</f>
        <v>27975.111902274795</v>
      </c>
      <c r="K79" s="133">
        <f>VLOOKUP($A79,IKP!$Q$6:$AC$124,12,FALSE)</f>
        <v>29368.303147252354</v>
      </c>
      <c r="L79" s="133">
        <f>VLOOKUP($A79,IKP!$Q$6:$AC$124,13,FALSE)</f>
        <v>30448.523060697793</v>
      </c>
      <c r="M79" s="172">
        <f>VLOOKUP($A79,IKP!$Q$6:$AD$124,14,FALSE)</f>
        <v>36507.8111191274</v>
      </c>
      <c r="N79" s="132">
        <f>((-0.0000000006)*IKP!$J$5 + 0.0461)*J79</f>
        <v>768.05574598327439</v>
      </c>
      <c r="O79" s="132">
        <f>((-0.0000000006)*IKP!$K$5 + 0.0461)*K79</f>
        <v>778.37954068533202</v>
      </c>
      <c r="P79" s="132">
        <f>((-0.0000000006)*IKP!$L$5 + 0.0461)*L79</f>
        <v>784.33641242574424</v>
      </c>
      <c r="Q79" s="172">
        <f>((-0.0000000006)*IKP!$M$5 + 0.0461)*M79</f>
        <v>784.47630078846248</v>
      </c>
      <c r="R79" s="132">
        <f t="shared" si="8"/>
        <v>184.33337903598584</v>
      </c>
      <c r="S79" s="132">
        <f t="shared" si="9"/>
        <v>186.8110897644797</v>
      </c>
      <c r="T79" s="132">
        <f t="shared" si="10"/>
        <v>188.24073898217861</v>
      </c>
      <c r="U79" s="172">
        <f t="shared" si="11"/>
        <v>188.27431218923101</v>
      </c>
      <c r="V79" s="175"/>
      <c r="W79" s="175"/>
    </row>
    <row r="80" spans="1:23" hidden="1" outlineLevel="1" x14ac:dyDescent="0.3">
      <c r="A80" s="98" t="s">
        <v>75</v>
      </c>
      <c r="B80" s="176" t="s">
        <v>441</v>
      </c>
      <c r="C80" s="176" t="s">
        <v>441</v>
      </c>
      <c r="D80" s="176" t="s">
        <v>176</v>
      </c>
      <c r="E80" s="180">
        <v>351</v>
      </c>
      <c r="F80" s="132">
        <f>VLOOKUP(A80,Iedz_sk!$B$5:$Y$123,15,FALSE)</f>
        <v>3113</v>
      </c>
      <c r="G80" s="132">
        <f>VLOOKUP(A80,Iedz_sk!$B$5:$Y$123,16,FALSE)</f>
        <v>3058</v>
      </c>
      <c r="H80" s="132">
        <f>VLOOKUP(A80,Iedz_sk!$B$5:$Y$123,17,FALSE)</f>
        <v>3003</v>
      </c>
      <c r="I80" s="172">
        <f>VLOOKUP(A80,Iedz_sk!$B$5:$Y$123,24,FALSE)</f>
        <v>2616</v>
      </c>
      <c r="J80" s="133">
        <f>VLOOKUP($A80,IKP!$Q$6:$AC$124,11,FALSE)</f>
        <v>29826.167991249778</v>
      </c>
      <c r="K80" s="133">
        <f>VLOOKUP($A80,IKP!$Q$6:$AC$124,12,FALSE)</f>
        <v>31352.608001035271</v>
      </c>
      <c r="L80" s="133">
        <f>VLOOKUP($A80,IKP!$Q$6:$AC$124,13,FALSE)</f>
        <v>32549.467237651112</v>
      </c>
      <c r="M80" s="172">
        <f>VLOOKUP($A80,IKP!$Q$6:$AD$124,14,FALSE)</f>
        <v>39414.755216654303</v>
      </c>
      <c r="N80" s="132">
        <f>((-0.0000000006)*IKP!$J$5 + 0.0461)*J80</f>
        <v>818.87642796092018</v>
      </c>
      <c r="O80" s="132">
        <f>((-0.0000000006)*IKP!$K$5 + 0.0461)*K80</f>
        <v>830.97169396442689</v>
      </c>
      <c r="P80" s="132">
        <f>((-0.0000000006)*IKP!$L$5 + 0.0461)*L80</f>
        <v>838.45552405468641</v>
      </c>
      <c r="Q80" s="172">
        <f>((-0.0000000006)*IKP!$M$5 + 0.0461)*M80</f>
        <v>846.94043332123942</v>
      </c>
      <c r="R80" s="132">
        <f t="shared" si="8"/>
        <v>196.53034271062086</v>
      </c>
      <c r="S80" s="132">
        <f t="shared" si="9"/>
        <v>199.43320655146246</v>
      </c>
      <c r="T80" s="132">
        <f t="shared" si="10"/>
        <v>201.22932577312477</v>
      </c>
      <c r="U80" s="172">
        <f t="shared" si="11"/>
        <v>203.26570399709749</v>
      </c>
      <c r="V80" s="175"/>
      <c r="W80" s="175"/>
    </row>
    <row r="81" spans="1:23" hidden="1" outlineLevel="1" x14ac:dyDescent="0.3">
      <c r="A81" s="98" t="s">
        <v>76</v>
      </c>
      <c r="B81" s="176" t="s">
        <v>76</v>
      </c>
      <c r="C81" s="176" t="s">
        <v>76</v>
      </c>
      <c r="D81" s="176" t="s">
        <v>438</v>
      </c>
      <c r="E81" s="180">
        <v>990</v>
      </c>
      <c r="F81" s="132">
        <f>VLOOKUP(A81,Iedz_sk!$B$5:$Y$123,15,FALSE)</f>
        <v>32790</v>
      </c>
      <c r="G81" s="132">
        <f>VLOOKUP(A81,Iedz_sk!$B$5:$Y$123,16,FALSE)</f>
        <v>32305</v>
      </c>
      <c r="H81" s="132">
        <f>VLOOKUP(A81,Iedz_sk!$B$5:$Y$123,17,FALSE)</f>
        <v>31820</v>
      </c>
      <c r="I81" s="172">
        <f>VLOOKUP(A81,Iedz_sk!$B$5:$Y$123,24,FALSE)</f>
        <v>28423</v>
      </c>
      <c r="J81" s="133">
        <f>VLOOKUP($A81,IKP!$Q$6:$AC$124,11,FALSE)</f>
        <v>425388.59939991537</v>
      </c>
      <c r="K81" s="133">
        <f>VLOOKUP($A81,IKP!$Q$6:$AC$124,12,FALSE)</f>
        <v>441833.42678497138</v>
      </c>
      <c r="L81" s="133">
        <f>VLOOKUP($A81,IKP!$Q$6:$AC$124,13,FALSE)</f>
        <v>453139.77889762778</v>
      </c>
      <c r="M81" s="172">
        <f>VLOOKUP($A81,IKP!$Q$6:$AD$124,14,FALSE)</f>
        <v>500660.20606737223</v>
      </c>
      <c r="N81" s="132">
        <f>((-0.0000000006)*IKP!$J$5 + 0.0461)*J81</f>
        <v>11679.029531185355</v>
      </c>
      <c r="O81" s="132">
        <f>((-0.0000000006)*IKP!$K$5 + 0.0461)*K81</f>
        <v>11710.38374522119</v>
      </c>
      <c r="P81" s="132">
        <f>((-0.0000000006)*IKP!$L$5 + 0.0461)*L81</f>
        <v>11672.619647247195</v>
      </c>
      <c r="Q81" s="172">
        <f>((-0.0000000006)*IKP!$M$5 + 0.0461)*M81</f>
        <v>10758.137898931616</v>
      </c>
      <c r="R81" s="132">
        <f t="shared" si="8"/>
        <v>2802.9670874844855</v>
      </c>
      <c r="S81" s="132">
        <f t="shared" si="9"/>
        <v>2810.4920988530857</v>
      </c>
      <c r="T81" s="132">
        <f t="shared" si="10"/>
        <v>2801.4287153393266</v>
      </c>
      <c r="U81" s="172">
        <f t="shared" si="11"/>
        <v>2581.9530957435877</v>
      </c>
      <c r="V81" s="175"/>
      <c r="W81" s="175"/>
    </row>
    <row r="82" spans="1:23" hidden="1" outlineLevel="1" x14ac:dyDescent="0.3">
      <c r="A82" s="98" t="s">
        <v>77</v>
      </c>
      <c r="B82" s="176" t="s">
        <v>77</v>
      </c>
      <c r="C82" s="176" t="s">
        <v>77</v>
      </c>
      <c r="D82" s="176" t="s">
        <v>438</v>
      </c>
      <c r="E82" s="180">
        <v>298</v>
      </c>
      <c r="F82" s="132">
        <f>VLOOKUP(A82,Iedz_sk!$B$5:$Y$123,15,FALSE)</f>
        <v>19705</v>
      </c>
      <c r="G82" s="132">
        <f>VLOOKUP(A82,Iedz_sk!$B$5:$Y$123,16,FALSE)</f>
        <v>19494</v>
      </c>
      <c r="H82" s="132">
        <f>VLOOKUP(A82,Iedz_sk!$B$5:$Y$123,17,FALSE)</f>
        <v>19283</v>
      </c>
      <c r="I82" s="172">
        <f>VLOOKUP(A82,Iedz_sk!$B$5:$Y$123,24,FALSE)</f>
        <v>17804</v>
      </c>
      <c r="J82" s="133">
        <f>VLOOKUP($A82,IKP!$Q$6:$AC$124,11,FALSE)</f>
        <v>255635.32635484391</v>
      </c>
      <c r="K82" s="133">
        <f>VLOOKUP($A82,IKP!$Q$6:$AC$124,12,FALSE)</f>
        <v>266618.1959989547</v>
      </c>
      <c r="L82" s="133">
        <f>VLOOKUP($A82,IKP!$Q$6:$AC$124,13,FALSE)</f>
        <v>274603.84526973468</v>
      </c>
      <c r="M82" s="172">
        <f>VLOOKUP($A82,IKP!$Q$6:$AD$124,14,FALSE)</f>
        <v>313610.60791695089</v>
      </c>
      <c r="N82" s="132">
        <f>((-0.0000000006)*IKP!$J$5 + 0.0461)*J82</f>
        <v>7018.4591921929677</v>
      </c>
      <c r="O82" s="132">
        <f>((-0.0000000006)*IKP!$K$5 + 0.0461)*K82</f>
        <v>7066.4671329311832</v>
      </c>
      <c r="P82" s="132">
        <f>((-0.0000000006)*IKP!$L$5 + 0.0461)*L82</f>
        <v>7073.6368528556777</v>
      </c>
      <c r="Q82" s="172">
        <f>((-0.0000000006)*IKP!$M$5 + 0.0461)*M82</f>
        <v>6738.834294500175</v>
      </c>
      <c r="R82" s="132">
        <f t="shared" si="8"/>
        <v>1684.4302061263122</v>
      </c>
      <c r="S82" s="132">
        <f t="shared" si="9"/>
        <v>1695.9521119034841</v>
      </c>
      <c r="T82" s="132">
        <f t="shared" si="10"/>
        <v>1697.6728446853629</v>
      </c>
      <c r="U82" s="172">
        <f t="shared" si="11"/>
        <v>1617.320230680042</v>
      </c>
      <c r="V82" s="175"/>
      <c r="W82" s="175"/>
    </row>
    <row r="83" spans="1:23" hidden="1" outlineLevel="1" x14ac:dyDescent="0.3">
      <c r="A83" s="98" t="s">
        <v>78</v>
      </c>
      <c r="B83" s="176" t="s">
        <v>50</v>
      </c>
      <c r="C83" s="176" t="s">
        <v>50</v>
      </c>
      <c r="D83" s="176" t="s">
        <v>438</v>
      </c>
      <c r="E83" s="180">
        <v>286</v>
      </c>
      <c r="F83" s="132">
        <f>VLOOKUP(A83,Iedz_sk!$B$5:$Y$123,15,FALSE)</f>
        <v>9948</v>
      </c>
      <c r="G83" s="132">
        <f>VLOOKUP(A83,Iedz_sk!$B$5:$Y$123,16,FALSE)</f>
        <v>9970</v>
      </c>
      <c r="H83" s="132">
        <f>VLOOKUP(A83,Iedz_sk!$B$5:$Y$123,17,FALSE)</f>
        <v>9993</v>
      </c>
      <c r="I83" s="172">
        <f>VLOOKUP(A83,Iedz_sk!$B$5:$Y$123,24,FALSE)</f>
        <v>10150</v>
      </c>
      <c r="J83" s="133">
        <f>VLOOKUP($A83,IKP!$Q$6:$AC$124,11,FALSE)</f>
        <v>84898.2346564459</v>
      </c>
      <c r="K83" s="133">
        <f>VLOOKUP($A83,IKP!$Q$6:$AC$124,12,FALSE)</f>
        <v>90904.061588980432</v>
      </c>
      <c r="L83" s="133">
        <f>VLOOKUP($A83,IKP!$Q$6:$AC$124,13,FALSE)</f>
        <v>96166.906114270867</v>
      </c>
      <c r="M83" s="172">
        <f>VLOOKUP($A83,IKP!$Q$6:$AD$124,14,FALSE)</f>
        <v>133967.56430193171</v>
      </c>
      <c r="N83" s="132">
        <f>((-0.0000000006)*IKP!$J$5 + 0.0461)*J83</f>
        <v>2330.8781455282528</v>
      </c>
      <c r="O83" s="132">
        <f>((-0.0000000006)*IKP!$K$5 + 0.0461)*K83</f>
        <v>2409.3275444373671</v>
      </c>
      <c r="P83" s="132">
        <f>((-0.0000000006)*IKP!$L$5 + 0.0461)*L83</f>
        <v>2477.2040990424971</v>
      </c>
      <c r="Q83" s="172">
        <f>((-0.0000000006)*IKP!$M$5 + 0.0461)*M83</f>
        <v>2878.6820148238953</v>
      </c>
      <c r="R83" s="132">
        <f t="shared" si="8"/>
        <v>559.41075492678067</v>
      </c>
      <c r="S83" s="132">
        <f t="shared" si="9"/>
        <v>578.23861066496806</v>
      </c>
      <c r="T83" s="132">
        <f t="shared" si="10"/>
        <v>594.52898377019926</v>
      </c>
      <c r="U83" s="172">
        <f t="shared" si="11"/>
        <v>690.88368355773491</v>
      </c>
      <c r="V83" s="175"/>
      <c r="W83" s="175"/>
    </row>
    <row r="84" spans="1:23" hidden="1" outlineLevel="1" x14ac:dyDescent="0.3">
      <c r="A84" s="98" t="s">
        <v>79</v>
      </c>
      <c r="B84" s="176" t="s">
        <v>31</v>
      </c>
      <c r="C84" s="176" t="s">
        <v>31</v>
      </c>
      <c r="D84" s="176" t="s">
        <v>439</v>
      </c>
      <c r="E84" s="180">
        <v>486</v>
      </c>
      <c r="F84" s="132">
        <f>VLOOKUP(A84,Iedz_sk!$B$5:$Y$123,15,FALSE)</f>
        <v>3603</v>
      </c>
      <c r="G84" s="132">
        <f>VLOOKUP(A84,Iedz_sk!$B$5:$Y$123,16,FALSE)</f>
        <v>3540</v>
      </c>
      <c r="H84" s="132">
        <f>VLOOKUP(A84,Iedz_sk!$B$5:$Y$123,17,FALSE)</f>
        <v>3477</v>
      </c>
      <c r="I84" s="172">
        <f>VLOOKUP(A84,Iedz_sk!$B$5:$Y$123,24,FALSE)</f>
        <v>3038</v>
      </c>
      <c r="J84" s="133">
        <f>VLOOKUP($A84,IKP!$Q$6:$AC$124,11,FALSE)</f>
        <v>34024.166332283254</v>
      </c>
      <c r="K84" s="133">
        <f>VLOOKUP($A84,IKP!$Q$6:$AC$124,12,FALSE)</f>
        <v>35967.240994214044</v>
      </c>
      <c r="L84" s="133">
        <f>VLOOKUP($A84,IKP!$Q$6:$AC$124,13,FALSE)</f>
        <v>37559.72523270909</v>
      </c>
      <c r="M84" s="172">
        <f>VLOOKUP($A84,IKP!$Q$6:$AD$124,14,FALSE)</f>
        <v>47838.362799890456</v>
      </c>
      <c r="N84" s="132">
        <f>((-0.0000000006)*IKP!$J$5 + 0.0461)*J84</f>
        <v>934.13232966106068</v>
      </c>
      <c r="O84" s="132">
        <f>((-0.0000000006)*IKP!$K$5 + 0.0461)*K84</f>
        <v>953.27824642855614</v>
      </c>
      <c r="P84" s="132">
        <f>((-0.0000000006)*IKP!$L$5 + 0.0461)*L84</f>
        <v>967.51688356094019</v>
      </c>
      <c r="Q84" s="172">
        <f>((-0.0000000006)*IKP!$M$5 + 0.0461)*M84</f>
        <v>1027.9460952226884</v>
      </c>
      <c r="R84" s="132">
        <f t="shared" si="8"/>
        <v>224.19175911865457</v>
      </c>
      <c r="S84" s="132">
        <f t="shared" si="9"/>
        <v>228.78677914285348</v>
      </c>
      <c r="T84" s="132">
        <f t="shared" si="10"/>
        <v>232.20405205462563</v>
      </c>
      <c r="U84" s="172">
        <f t="shared" si="11"/>
        <v>246.70706285344522</v>
      </c>
      <c r="V84" s="175"/>
      <c r="W84" s="175"/>
    </row>
    <row r="85" spans="1:23" hidden="1" outlineLevel="1" x14ac:dyDescent="0.3">
      <c r="A85" s="98" t="s">
        <v>80</v>
      </c>
      <c r="B85" s="176" t="s">
        <v>441</v>
      </c>
      <c r="C85" s="176" t="s">
        <v>441</v>
      </c>
      <c r="D85" s="176" t="s">
        <v>176</v>
      </c>
      <c r="E85" s="180">
        <v>515</v>
      </c>
      <c r="F85" s="132">
        <f>VLOOKUP(A85,Iedz_sk!$B$5:$Y$123,15,FALSE)</f>
        <v>2543</v>
      </c>
      <c r="G85" s="132">
        <f>VLOOKUP(A85,Iedz_sk!$B$5:$Y$123,16,FALSE)</f>
        <v>2498</v>
      </c>
      <c r="H85" s="132">
        <f>VLOOKUP(A85,Iedz_sk!$B$5:$Y$123,17,FALSE)</f>
        <v>2453</v>
      </c>
      <c r="I85" s="172">
        <f>VLOOKUP(A85,Iedz_sk!$B$5:$Y$123,24,FALSE)</f>
        <v>2137</v>
      </c>
      <c r="J85" s="133">
        <f>VLOOKUP($A85,IKP!$Q$6:$AC$124,11,FALSE)</f>
        <v>24364.903694747249</v>
      </c>
      <c r="K85" s="133">
        <f>VLOOKUP($A85,IKP!$Q$6:$AC$124,12,FALSE)</f>
        <v>25611.123213402912</v>
      </c>
      <c r="L85" s="133">
        <f>VLOOKUP($A85,IKP!$Q$6:$AC$124,13,FALSE)</f>
        <v>26588.026351634424</v>
      </c>
      <c r="M85" s="172">
        <f>VLOOKUP($A85,IKP!$Q$6:$AD$124,14,FALSE)</f>
        <v>32197.756841739389</v>
      </c>
      <c r="N85" s="132">
        <f>((-0.0000000006)*IKP!$J$5 + 0.0461)*J85</f>
        <v>668.93760241073562</v>
      </c>
      <c r="O85" s="132">
        <f>((-0.0000000006)*IKP!$K$5 + 0.0461)*K85</f>
        <v>678.79898349350503</v>
      </c>
      <c r="P85" s="132">
        <f>((-0.0000000006)*IKP!$L$5 + 0.0461)*L85</f>
        <v>684.89224126078773</v>
      </c>
      <c r="Q85" s="172">
        <f>((-0.0000000006)*IKP!$M$5 + 0.0461)*M85</f>
        <v>691.86227293864238</v>
      </c>
      <c r="R85" s="132">
        <f t="shared" si="8"/>
        <v>160.54502457857654</v>
      </c>
      <c r="S85" s="132">
        <f t="shared" si="9"/>
        <v>162.91175603844121</v>
      </c>
      <c r="T85" s="132">
        <f t="shared" si="10"/>
        <v>164.37413790258907</v>
      </c>
      <c r="U85" s="172">
        <f t="shared" si="11"/>
        <v>166.04694550527415</v>
      </c>
      <c r="V85" s="175"/>
      <c r="W85" s="175"/>
    </row>
    <row r="86" spans="1:23" hidden="1" outlineLevel="1" x14ac:dyDescent="0.3">
      <c r="A86" s="98" t="s">
        <v>81</v>
      </c>
      <c r="B86" s="176" t="s">
        <v>11</v>
      </c>
      <c r="C86" s="176" t="s">
        <v>11</v>
      </c>
      <c r="D86" s="176" t="s">
        <v>438</v>
      </c>
      <c r="E86" s="180">
        <v>376</v>
      </c>
      <c r="F86" s="132">
        <f>VLOOKUP(A86,Iedz_sk!$B$5:$Y$123,15,FALSE)</f>
        <v>4765</v>
      </c>
      <c r="G86" s="132">
        <f>VLOOKUP(A86,Iedz_sk!$B$5:$Y$123,16,FALSE)</f>
        <v>4677</v>
      </c>
      <c r="H86" s="132">
        <f>VLOOKUP(A86,Iedz_sk!$B$5:$Y$123,17,FALSE)</f>
        <v>4589</v>
      </c>
      <c r="I86" s="172">
        <f>VLOOKUP(A86,Iedz_sk!$B$5:$Y$123,24,FALSE)</f>
        <v>3972</v>
      </c>
      <c r="J86" s="133">
        <f>VLOOKUP($A86,IKP!$Q$6:$AC$124,11,FALSE)</f>
        <v>40665.469253916839</v>
      </c>
      <c r="K86" s="133">
        <f>VLOOKUP($A86,IKP!$Q$6:$AC$124,12,FALSE)</f>
        <v>42643.760887829638</v>
      </c>
      <c r="L86" s="133">
        <f>VLOOKUP($A86,IKP!$Q$6:$AC$124,13,FALSE)</f>
        <v>44161.906550424203</v>
      </c>
      <c r="M86" s="172">
        <f>VLOOKUP($A86,IKP!$Q$6:$AD$124,14,FALSE)</f>
        <v>52425.533537662341</v>
      </c>
      <c r="N86" s="132">
        <f>((-0.0000000006)*IKP!$J$5 + 0.0461)*J86</f>
        <v>1116.469075537005</v>
      </c>
      <c r="O86" s="132">
        <f>((-0.0000000006)*IKP!$K$5 + 0.0461)*K86</f>
        <v>1130.2331921096857</v>
      </c>
      <c r="P86" s="132">
        <f>((-0.0000000006)*IKP!$L$5 + 0.0461)*L86</f>
        <v>1137.5852707401202</v>
      </c>
      <c r="Q86" s="172">
        <f>((-0.0000000006)*IKP!$M$5 + 0.0461)*M86</f>
        <v>1126.5147746680309</v>
      </c>
      <c r="R86" s="132">
        <f t="shared" si="8"/>
        <v>267.95257812888121</v>
      </c>
      <c r="S86" s="132">
        <f t="shared" si="9"/>
        <v>271.25596610632454</v>
      </c>
      <c r="T86" s="132">
        <f t="shared" si="10"/>
        <v>273.02046497762882</v>
      </c>
      <c r="U86" s="172">
        <f t="shared" si="11"/>
        <v>270.36354592032745</v>
      </c>
      <c r="V86" s="175"/>
      <c r="W86" s="175"/>
    </row>
    <row r="87" spans="1:23" hidden="1" outlineLevel="1" x14ac:dyDescent="0.3">
      <c r="A87" s="98" t="s">
        <v>82</v>
      </c>
      <c r="B87" s="176" t="s">
        <v>82</v>
      </c>
      <c r="C87" s="176" t="s">
        <v>82</v>
      </c>
      <c r="D87" s="176" t="s">
        <v>437</v>
      </c>
      <c r="E87" s="180">
        <v>364</v>
      </c>
      <c r="F87" s="132">
        <f>VLOOKUP(A87,Iedz_sk!$B$5:$Y$123,15,FALSE)</f>
        <v>8948</v>
      </c>
      <c r="G87" s="132">
        <f>VLOOKUP(A87,Iedz_sk!$B$5:$Y$123,16,FALSE)</f>
        <v>8762</v>
      </c>
      <c r="H87" s="132">
        <f>VLOOKUP(A87,Iedz_sk!$B$5:$Y$123,17,FALSE)</f>
        <v>8577</v>
      </c>
      <c r="I87" s="172">
        <f>VLOOKUP(A87,Iedz_sk!$B$5:$Y$123,24,FALSE)</f>
        <v>7277</v>
      </c>
      <c r="J87" s="133">
        <f>VLOOKUP($A87,IKP!$Q$6:$AC$124,11,FALSE)</f>
        <v>58841.164107588316</v>
      </c>
      <c r="K87" s="133">
        <f>VLOOKUP($A87,IKP!$Q$6:$AC$124,12,FALSE)</f>
        <v>61978.675621562441</v>
      </c>
      <c r="L87" s="133">
        <f>VLOOKUP($A87,IKP!$Q$6:$AC$124,13,FALSE)</f>
        <v>64490.008032500285</v>
      </c>
      <c r="M87" s="172">
        <f>VLOOKUP($A87,IKP!$Q$6:$AD$124,14,FALSE)</f>
        <v>79608.75803489385</v>
      </c>
      <c r="N87" s="132">
        <f>((-0.0000000006)*IKP!$J$5 + 0.0461)*J87</f>
        <v>1615.4821596800521</v>
      </c>
      <c r="O87" s="132">
        <f>((-0.0000000006)*IKP!$K$5 + 0.0461)*K87</f>
        <v>1642.6871113631391</v>
      </c>
      <c r="P87" s="132">
        <f>((-0.0000000006)*IKP!$L$5 + 0.0461)*L87</f>
        <v>1661.2254537497922</v>
      </c>
      <c r="Q87" s="172">
        <f>((-0.0000000006)*IKP!$M$5 + 0.0461)*M87</f>
        <v>1710.6252634482792</v>
      </c>
      <c r="R87" s="132">
        <f t="shared" si="8"/>
        <v>387.71571832321251</v>
      </c>
      <c r="S87" s="132">
        <f t="shared" si="9"/>
        <v>394.24490672715342</v>
      </c>
      <c r="T87" s="132">
        <f t="shared" si="10"/>
        <v>398.69410889995015</v>
      </c>
      <c r="U87" s="172">
        <f t="shared" si="11"/>
        <v>410.55006322758697</v>
      </c>
      <c r="V87" s="175"/>
      <c r="W87" s="175"/>
    </row>
    <row r="88" spans="1:23" hidden="1" outlineLevel="1" x14ac:dyDescent="0.3">
      <c r="A88" s="98" t="s">
        <v>83</v>
      </c>
      <c r="B88" s="176" t="s">
        <v>441</v>
      </c>
      <c r="C88" s="176" t="s">
        <v>441</v>
      </c>
      <c r="D88" s="176" t="s">
        <v>176</v>
      </c>
      <c r="E88" s="180">
        <v>520</v>
      </c>
      <c r="F88" s="132">
        <f>VLOOKUP(A88,Iedz_sk!$B$5:$Y$123,15,FALSE)</f>
        <v>4955</v>
      </c>
      <c r="G88" s="132">
        <f>VLOOKUP(A88,Iedz_sk!$B$5:$Y$123,16,FALSE)</f>
        <v>4868</v>
      </c>
      <c r="H88" s="132">
        <f>VLOOKUP(A88,Iedz_sk!$B$5:$Y$123,17,FALSE)</f>
        <v>4781</v>
      </c>
      <c r="I88" s="172">
        <f>VLOOKUP(A88,Iedz_sk!$B$5:$Y$123,24,FALSE)</f>
        <v>4170</v>
      </c>
      <c r="J88" s="133">
        <f>VLOOKUP($A88,IKP!$Q$6:$AC$124,11,FALSE)</f>
        <v>47474.674717842165</v>
      </c>
      <c r="K88" s="133">
        <f>VLOOKUP($A88,IKP!$Q$6:$AC$124,12,FALSE)</f>
        <v>49909.907046775574</v>
      </c>
      <c r="L88" s="133">
        <f>VLOOKUP($A88,IKP!$Q$6:$AC$124,13,FALSE)</f>
        <v>51821.17977462869</v>
      </c>
      <c r="M88" s="172">
        <f>VLOOKUP($A88,IKP!$Q$6:$AD$124,14,FALSE)</f>
        <v>62828.566228382428</v>
      </c>
      <c r="N88" s="132">
        <f>((-0.0000000006)*IKP!$J$5 + 0.0461)*J88</f>
        <v>1303.415580002043</v>
      </c>
      <c r="O88" s="132">
        <f>((-0.0000000006)*IKP!$K$5 + 0.0461)*K88</f>
        <v>1322.815633165085</v>
      </c>
      <c r="P88" s="132">
        <f>((-0.0000000006)*IKP!$L$5 + 0.0461)*L88</f>
        <v>1334.883736432053</v>
      </c>
      <c r="Q88" s="172">
        <f>((-0.0000000006)*IKP!$M$5 + 0.0461)*M88</f>
        <v>1350.0541310969297</v>
      </c>
      <c r="R88" s="132">
        <f t="shared" si="8"/>
        <v>312.81973920049035</v>
      </c>
      <c r="S88" s="132">
        <f t="shared" si="9"/>
        <v>317.47575195962042</v>
      </c>
      <c r="T88" s="132">
        <f t="shared" si="10"/>
        <v>320.37209674369274</v>
      </c>
      <c r="U88" s="172">
        <f t="shared" si="11"/>
        <v>324.01299146326312</v>
      </c>
      <c r="V88" s="175"/>
      <c r="W88" s="175"/>
    </row>
    <row r="89" spans="1:23" hidden="1" outlineLevel="1" x14ac:dyDescent="0.3">
      <c r="A89" s="98" t="s">
        <v>84</v>
      </c>
      <c r="B89" s="176" t="s">
        <v>31</v>
      </c>
      <c r="C89" s="176" t="s">
        <v>31</v>
      </c>
      <c r="D89" s="176" t="s">
        <v>439</v>
      </c>
      <c r="E89" s="180">
        <v>301</v>
      </c>
      <c r="F89" s="132">
        <f>VLOOKUP(A89,Iedz_sk!$B$5:$Y$123,15,FALSE)</f>
        <v>7509</v>
      </c>
      <c r="G89" s="132">
        <f>VLOOKUP(A89,Iedz_sk!$B$5:$Y$123,16,FALSE)</f>
        <v>7377</v>
      </c>
      <c r="H89" s="132">
        <f>VLOOKUP(A89,Iedz_sk!$B$5:$Y$123,17,FALSE)</f>
        <v>7245</v>
      </c>
      <c r="I89" s="172">
        <f>VLOOKUP(A89,Iedz_sk!$B$5:$Y$123,24,FALSE)</f>
        <v>6320</v>
      </c>
      <c r="J89" s="133">
        <f>VLOOKUP($A89,IKP!$Q$6:$AC$124,11,FALSE)</f>
        <v>70909.648900670261</v>
      </c>
      <c r="K89" s="133">
        <f>VLOOKUP($A89,IKP!$Q$6:$AC$124,12,FALSE)</f>
        <v>74952.072546417228</v>
      </c>
      <c r="L89" s="133">
        <f>VLOOKUP($A89,IKP!$Q$6:$AC$124,13,FALSE)</f>
        <v>78262.930489208331</v>
      </c>
      <c r="M89" s="172">
        <f>VLOOKUP($A89,IKP!$Q$6:$AD$124,14,FALSE)</f>
        <v>99518.911420443619</v>
      </c>
      <c r="N89" s="132">
        <f>((-0.0000000006)*IKP!$J$5 + 0.0461)*J89</f>
        <v>1946.8219992852914</v>
      </c>
      <c r="O89" s="132">
        <f>((-0.0000000006)*IKP!$K$5 + 0.0461)*K89</f>
        <v>1986.5349220066266</v>
      </c>
      <c r="P89" s="132">
        <f>((-0.0000000006)*IKP!$L$5 + 0.0461)*L89</f>
        <v>2016.0080015527788</v>
      </c>
      <c r="Q89" s="172">
        <f>((-0.0000000006)*IKP!$M$5 + 0.0461)*M89</f>
        <v>2138.4527063223804</v>
      </c>
      <c r="R89" s="132">
        <f t="shared" si="8"/>
        <v>467.23727982846992</v>
      </c>
      <c r="S89" s="132">
        <f t="shared" si="9"/>
        <v>476.76838128159039</v>
      </c>
      <c r="T89" s="132">
        <f t="shared" si="10"/>
        <v>483.84192037266689</v>
      </c>
      <c r="U89" s="172">
        <f t="shared" si="11"/>
        <v>513.22864951737131</v>
      </c>
      <c r="V89" s="175"/>
      <c r="W89" s="175"/>
    </row>
    <row r="90" spans="1:23" hidden="1" outlineLevel="1" x14ac:dyDescent="0.3">
      <c r="A90" s="98" t="s">
        <v>85</v>
      </c>
      <c r="B90" s="176" t="s">
        <v>103</v>
      </c>
      <c r="C90" s="176" t="s">
        <v>103</v>
      </c>
      <c r="D90" s="176" t="s">
        <v>439</v>
      </c>
      <c r="E90" s="180">
        <v>309</v>
      </c>
      <c r="F90" s="132">
        <f>VLOOKUP(A90,Iedz_sk!$B$5:$Y$123,15,FALSE)</f>
        <v>3005</v>
      </c>
      <c r="G90" s="132">
        <f>VLOOKUP(A90,Iedz_sk!$B$5:$Y$123,16,FALSE)</f>
        <v>2919</v>
      </c>
      <c r="H90" s="132">
        <f>VLOOKUP(A90,Iedz_sk!$B$5:$Y$123,17,FALSE)</f>
        <v>2832</v>
      </c>
      <c r="I90" s="172">
        <f>VLOOKUP(A90,Iedz_sk!$B$5:$Y$123,24,FALSE)</f>
        <v>2228</v>
      </c>
      <c r="J90" s="133">
        <f>VLOOKUP($A90,IKP!$Q$6:$AC$124,11,FALSE)</f>
        <v>28377.080163339208</v>
      </c>
      <c r="K90" s="133">
        <f>VLOOKUP($A90,IKP!$Q$6:$AC$124,12,FALSE)</f>
        <v>29657.733463873104</v>
      </c>
      <c r="L90" s="133">
        <f>VLOOKUP($A90,IKP!$Q$6:$AC$124,13,FALSE)</f>
        <v>30592.217963483505</v>
      </c>
      <c r="M90" s="172">
        <f>VLOOKUP($A90,IKP!$Q$6:$AD$124,14,FALSE)</f>
        <v>35083.56560834626</v>
      </c>
      <c r="N90" s="132">
        <f>((-0.0000000006)*IKP!$J$5 + 0.0461)*J90</f>
        <v>779.09177092186712</v>
      </c>
      <c r="O90" s="132">
        <f>((-0.0000000006)*IKP!$K$5 + 0.0461)*K90</f>
        <v>786.05062184320764</v>
      </c>
      <c r="P90" s="132">
        <f>((-0.0000000006)*IKP!$L$5 + 0.0461)*L90</f>
        <v>788.03791033781499</v>
      </c>
      <c r="Q90" s="172">
        <f>((-0.0000000006)*IKP!$M$5 + 0.0461)*M90</f>
        <v>753.8722515326366</v>
      </c>
      <c r="R90" s="132">
        <f t="shared" si="8"/>
        <v>186.98202502124812</v>
      </c>
      <c r="S90" s="132">
        <f t="shared" si="9"/>
        <v>188.65214924236986</v>
      </c>
      <c r="T90" s="132">
        <f t="shared" si="10"/>
        <v>189.1290984810756</v>
      </c>
      <c r="U90" s="172">
        <f t="shared" si="11"/>
        <v>180.92934036783276</v>
      </c>
      <c r="V90" s="175"/>
      <c r="W90" s="175"/>
    </row>
    <row r="91" spans="1:23" hidden="1" outlineLevel="1" x14ac:dyDescent="0.3">
      <c r="A91" s="98" t="s">
        <v>86</v>
      </c>
      <c r="B91" s="176" t="s">
        <v>86</v>
      </c>
      <c r="C91" s="176" t="s">
        <v>86</v>
      </c>
      <c r="D91" s="176" t="s">
        <v>437</v>
      </c>
      <c r="E91" s="180">
        <v>2525</v>
      </c>
      <c r="F91" s="132">
        <f>VLOOKUP(A91,Iedz_sk!$B$5:$Y$123,15,FALSE)</f>
        <v>24244</v>
      </c>
      <c r="G91" s="132">
        <f>VLOOKUP(A91,Iedz_sk!$B$5:$Y$123,16,FALSE)</f>
        <v>23823</v>
      </c>
      <c r="H91" s="132">
        <f>VLOOKUP(A91,Iedz_sk!$B$5:$Y$123,17,FALSE)</f>
        <v>23402</v>
      </c>
      <c r="I91" s="172">
        <f>VLOOKUP(A91,Iedz_sk!$B$5:$Y$123,24,FALSE)</f>
        <v>20457</v>
      </c>
      <c r="J91" s="133">
        <f>VLOOKUP($A91,IKP!$Q$6:$AC$124,11,FALSE)</f>
        <v>159426.14915337184</v>
      </c>
      <c r="K91" s="133">
        <f>VLOOKUP($A91,IKP!$Q$6:$AC$124,12,FALSE)</f>
        <v>168513.80841502876</v>
      </c>
      <c r="L91" s="133">
        <f>VLOOKUP($A91,IKP!$Q$6:$AC$124,13,FALSE)</f>
        <v>175958.39663945106</v>
      </c>
      <c r="M91" s="172">
        <f>VLOOKUP($A91,IKP!$Q$6:$AD$124,14,FALSE)</f>
        <v>223795.02035451744</v>
      </c>
      <c r="N91" s="132">
        <f>((-0.0000000006)*IKP!$J$5 + 0.0461)*J91</f>
        <v>4377.0395037196222</v>
      </c>
      <c r="O91" s="132">
        <f>((-0.0000000006)*IKP!$K$5 + 0.0461)*K91</f>
        <v>4466.301649623837</v>
      </c>
      <c r="P91" s="132">
        <f>((-0.0000000006)*IKP!$L$5 + 0.0461)*L91</f>
        <v>4532.5869265072442</v>
      </c>
      <c r="Q91" s="172">
        <f>((-0.0000000006)*IKP!$M$5 + 0.0461)*M91</f>
        <v>4808.885669144076</v>
      </c>
      <c r="R91" s="132">
        <f t="shared" si="8"/>
        <v>1050.4894808927095</v>
      </c>
      <c r="S91" s="132">
        <f t="shared" si="9"/>
        <v>1071.912395909721</v>
      </c>
      <c r="T91" s="132">
        <f t="shared" si="10"/>
        <v>1087.8208623617386</v>
      </c>
      <c r="U91" s="172">
        <f t="shared" si="11"/>
        <v>1154.1325605945783</v>
      </c>
      <c r="V91" s="175"/>
      <c r="W91" s="175"/>
    </row>
    <row r="92" spans="1:23" hidden="1" outlineLevel="1" x14ac:dyDescent="0.3">
      <c r="A92" s="98" t="s">
        <v>87</v>
      </c>
      <c r="B92" s="176" t="s">
        <v>82</v>
      </c>
      <c r="C92" s="176" t="s">
        <v>82</v>
      </c>
      <c r="D92" s="176" t="s">
        <v>437</v>
      </c>
      <c r="E92" s="180">
        <v>630</v>
      </c>
      <c r="F92" s="132">
        <f>VLOOKUP(A92,Iedz_sk!$B$5:$Y$123,15,FALSE)</f>
        <v>4466</v>
      </c>
      <c r="G92" s="132">
        <f>VLOOKUP(A92,Iedz_sk!$B$5:$Y$123,16,FALSE)</f>
        <v>4370</v>
      </c>
      <c r="H92" s="132">
        <f>VLOOKUP(A92,Iedz_sk!$B$5:$Y$123,17,FALSE)</f>
        <v>4275</v>
      </c>
      <c r="I92" s="172">
        <f>VLOOKUP(A92,Iedz_sk!$B$5:$Y$123,24,FALSE)</f>
        <v>3606</v>
      </c>
      <c r="J92" s="133">
        <f>VLOOKUP($A92,IKP!$Q$6:$AC$124,11,FALSE)</f>
        <v>29367.974844042183</v>
      </c>
      <c r="K92" s="133">
        <f>VLOOKUP($A92,IKP!$Q$6:$AC$124,12,FALSE)</f>
        <v>30911.528471379581</v>
      </c>
      <c r="L92" s="133">
        <f>VLOOKUP($A92,IKP!$Q$6:$AC$124,13,FALSE)</f>
        <v>32143.498232358485</v>
      </c>
      <c r="M92" s="172">
        <f>VLOOKUP($A92,IKP!$Q$6:$AD$124,14,FALSE)</f>
        <v>39448.8362613477</v>
      </c>
      <c r="N92" s="132">
        <f>((-0.0000000006)*IKP!$J$5 + 0.0461)*J92</f>
        <v>806.29675068519362</v>
      </c>
      <c r="O92" s="132">
        <f>((-0.0000000006)*IKP!$K$5 + 0.0461)*K92</f>
        <v>819.28129156093564</v>
      </c>
      <c r="P92" s="132">
        <f>((-0.0000000006)*IKP!$L$5 + 0.0461)*L92</f>
        <v>827.99799636007481</v>
      </c>
      <c r="Q92" s="172">
        <f>((-0.0000000006)*IKP!$M$5 + 0.0461)*M92</f>
        <v>847.6727635006863</v>
      </c>
      <c r="R92" s="132">
        <f t="shared" si="8"/>
        <v>193.51122016444646</v>
      </c>
      <c r="S92" s="132">
        <f t="shared" si="9"/>
        <v>196.62750997462459</v>
      </c>
      <c r="T92" s="132">
        <f t="shared" si="10"/>
        <v>198.71951912641796</v>
      </c>
      <c r="U92" s="172">
        <f t="shared" si="11"/>
        <v>203.44146324016472</v>
      </c>
      <c r="V92" s="175"/>
      <c r="W92" s="175"/>
    </row>
    <row r="93" spans="1:23" hidden="1" outlineLevel="1" x14ac:dyDescent="0.3">
      <c r="A93" s="98" t="s">
        <v>88</v>
      </c>
      <c r="B93" s="176" t="s">
        <v>106</v>
      </c>
      <c r="C93" s="176" t="s">
        <v>106</v>
      </c>
      <c r="D93" s="176" t="s">
        <v>440</v>
      </c>
      <c r="E93" s="180">
        <v>200</v>
      </c>
      <c r="F93" s="132">
        <f>VLOOKUP(A93,Iedz_sk!$B$5:$Y$123,15,FALSE)</f>
        <v>3390</v>
      </c>
      <c r="G93" s="132">
        <f>VLOOKUP(A93,Iedz_sk!$B$5:$Y$123,16,FALSE)</f>
        <v>3328</v>
      </c>
      <c r="H93" s="132">
        <f>VLOOKUP(A93,Iedz_sk!$B$5:$Y$123,17,FALSE)</f>
        <v>3266</v>
      </c>
      <c r="I93" s="172">
        <f>VLOOKUP(A93,Iedz_sk!$B$5:$Y$123,24,FALSE)</f>
        <v>2831</v>
      </c>
      <c r="J93" s="133">
        <f>VLOOKUP($A93,IKP!$Q$6:$AC$124,11,FALSE)</f>
        <v>32480.150816041358</v>
      </c>
      <c r="K93" s="133">
        <f>VLOOKUP($A93,IKP!$Q$6:$AC$124,12,FALSE)</f>
        <v>34120.823880786586</v>
      </c>
      <c r="L93" s="133">
        <f>VLOOKUP($A93,IKP!$Q$6:$AC$124,13,FALSE)</f>
        <v>35400.119879509999</v>
      </c>
      <c r="M93" s="172">
        <f>VLOOKUP($A93,IKP!$Q$6:$AD$124,14,FALSE)</f>
        <v>42654.117744016941</v>
      </c>
      <c r="N93" s="132">
        <f>((-0.0000000006)*IKP!$J$5 + 0.0461)*J93</f>
        <v>891.74143616688707</v>
      </c>
      <c r="O93" s="132">
        <f>((-0.0000000006)*IKP!$K$5 + 0.0461)*K93</f>
        <v>904.34067937004988</v>
      </c>
      <c r="P93" s="132">
        <f>((-0.0000000006)*IKP!$L$5 + 0.0461)*L93</f>
        <v>911.88669382704154</v>
      </c>
      <c r="Q93" s="172">
        <f>((-0.0000000006)*IKP!$M$5 + 0.0461)*M93</f>
        <v>916.54754079985798</v>
      </c>
      <c r="R93" s="132">
        <f t="shared" si="8"/>
        <v>214.01794468005289</v>
      </c>
      <c r="S93" s="132">
        <f t="shared" si="9"/>
        <v>217.04176304881199</v>
      </c>
      <c r="T93" s="132">
        <f t="shared" si="10"/>
        <v>218.85280651848998</v>
      </c>
      <c r="U93" s="172">
        <f t="shared" si="11"/>
        <v>219.97140979196593</v>
      </c>
      <c r="V93" s="175"/>
      <c r="W93" s="175"/>
    </row>
    <row r="94" spans="1:23" hidden="1" outlineLevel="1" x14ac:dyDescent="0.3">
      <c r="A94" s="98" t="s">
        <v>89</v>
      </c>
      <c r="B94" s="176" t="s">
        <v>89</v>
      </c>
      <c r="C94" s="176" t="s">
        <v>89</v>
      </c>
      <c r="D94" s="176" t="s">
        <v>438</v>
      </c>
      <c r="E94" s="180">
        <v>325</v>
      </c>
      <c r="F94" s="132">
        <f>VLOOKUP(A94,Iedz_sk!$B$5:$Y$123,15,FALSE)</f>
        <v>6836</v>
      </c>
      <c r="G94" s="132">
        <f>VLOOKUP(A94,Iedz_sk!$B$5:$Y$123,16,FALSE)</f>
        <v>6846</v>
      </c>
      <c r="H94" s="132">
        <f>VLOOKUP(A94,Iedz_sk!$B$5:$Y$123,17,FALSE)</f>
        <v>6856</v>
      </c>
      <c r="I94" s="172">
        <f>VLOOKUP(A94,Iedz_sk!$B$5:$Y$123,24,FALSE)</f>
        <v>6924</v>
      </c>
      <c r="J94" s="133">
        <f>VLOOKUP($A94,IKP!$Q$6:$AC$124,11,FALSE)</f>
        <v>88684.247194200099</v>
      </c>
      <c r="K94" s="133">
        <f>VLOOKUP($A94,IKP!$Q$6:$AC$124,12,FALSE)</f>
        <v>93632.305827887758</v>
      </c>
      <c r="L94" s="133">
        <f>VLOOKUP($A94,IKP!$Q$6:$AC$124,13,FALSE)</f>
        <v>97634.391078634071</v>
      </c>
      <c r="M94" s="172">
        <f>VLOOKUP($A94,IKP!$Q$6:$AD$124,14,FALSE)</f>
        <v>121963.59521551157</v>
      </c>
      <c r="N94" s="132">
        <f>((-0.0000000006)*IKP!$J$5 + 0.0461)*J94</f>
        <v>2434.8229910089381</v>
      </c>
      <c r="O94" s="132">
        <f>((-0.0000000006)*IKP!$K$5 + 0.0461)*K94</f>
        <v>2481.6371187055956</v>
      </c>
      <c r="P94" s="132">
        <f>((-0.0000000006)*IKP!$L$5 + 0.0461)*L94</f>
        <v>2515.0056662956245</v>
      </c>
      <c r="Q94" s="172">
        <f>((-0.0000000006)*IKP!$M$5 + 0.0461)*M94</f>
        <v>2620.7418925589313</v>
      </c>
      <c r="R94" s="132">
        <f t="shared" si="8"/>
        <v>584.35751784214517</v>
      </c>
      <c r="S94" s="132">
        <f t="shared" si="9"/>
        <v>595.59290848934302</v>
      </c>
      <c r="T94" s="132">
        <f t="shared" si="10"/>
        <v>603.6013599109499</v>
      </c>
      <c r="U94" s="172">
        <f t="shared" si="11"/>
        <v>628.97805421414353</v>
      </c>
      <c r="V94" s="175"/>
      <c r="W94" s="175"/>
    </row>
    <row r="95" spans="1:23" hidden="1" outlineLevel="1" x14ac:dyDescent="0.3">
      <c r="A95" s="98" t="s">
        <v>90</v>
      </c>
      <c r="B95" s="176" t="s">
        <v>441</v>
      </c>
      <c r="C95" s="176" t="s">
        <v>441</v>
      </c>
      <c r="D95" s="176" t="s">
        <v>176</v>
      </c>
      <c r="E95" s="180">
        <v>448</v>
      </c>
      <c r="F95" s="132">
        <f>VLOOKUP(A95,Iedz_sk!$B$5:$Y$123,15,FALSE)</f>
        <v>1505</v>
      </c>
      <c r="G95" s="132">
        <f>VLOOKUP(A95,Iedz_sk!$B$5:$Y$123,16,FALSE)</f>
        <v>1463</v>
      </c>
      <c r="H95" s="132">
        <f>VLOOKUP(A95,Iedz_sk!$B$5:$Y$123,17,FALSE)</f>
        <v>1421</v>
      </c>
      <c r="I95" s="172">
        <f>VLOOKUP(A95,Iedz_sk!$B$5:$Y$123,24,FALSE)</f>
        <v>1127</v>
      </c>
      <c r="J95" s="133">
        <f>VLOOKUP($A95,IKP!$Q$6:$AC$124,11,FALSE)</f>
        <v>14419.653975853169</v>
      </c>
      <c r="K95" s="133">
        <f>VLOOKUP($A95,IKP!$Q$6:$AC$124,12,FALSE)</f>
        <v>14999.629007689537</v>
      </c>
      <c r="L95" s="133">
        <f>VLOOKUP($A95,IKP!$Q$6:$AC$124,13,FALSE)</f>
        <v>15402.195452781296</v>
      </c>
      <c r="M95" s="172">
        <f>VLOOKUP($A95,IKP!$Q$6:$AD$124,14,FALSE)</f>
        <v>16980.286364361389</v>
      </c>
      <c r="N95" s="132">
        <f>((-0.0000000006)*IKP!$J$5 + 0.0461)*J95</f>
        <v>395.89110956671539</v>
      </c>
      <c r="O95" s="132">
        <f>((-0.0000000006)*IKP!$K$5 + 0.0461)*K95</f>
        <v>397.55120610528337</v>
      </c>
      <c r="P95" s="132">
        <f>((-0.0000000006)*IKP!$L$5 + 0.0461)*L95</f>
        <v>396.75168154569076</v>
      </c>
      <c r="Q95" s="172">
        <f>((-0.0000000006)*IKP!$M$5 + 0.0461)*M95</f>
        <v>364.87074478327094</v>
      </c>
      <c r="R95" s="132">
        <f t="shared" si="8"/>
        <v>95.013866296011699</v>
      </c>
      <c r="S95" s="132">
        <f t="shared" si="9"/>
        <v>95.412289465268003</v>
      </c>
      <c r="T95" s="132">
        <f t="shared" si="10"/>
        <v>95.220403570965786</v>
      </c>
      <c r="U95" s="172">
        <f t="shared" si="11"/>
        <v>87.568978747985028</v>
      </c>
      <c r="V95" s="175"/>
      <c r="W95" s="175"/>
    </row>
    <row r="96" spans="1:23" hidden="1" outlineLevel="1" x14ac:dyDescent="0.3">
      <c r="A96" s="98" t="s">
        <v>91</v>
      </c>
      <c r="B96" s="176" t="s">
        <v>24</v>
      </c>
      <c r="C96" s="176" t="s">
        <v>24</v>
      </c>
      <c r="D96" s="176" t="s">
        <v>439</v>
      </c>
      <c r="E96" s="180">
        <v>515</v>
      </c>
      <c r="F96" s="132">
        <f>VLOOKUP(A96,Iedz_sk!$B$5:$Y$123,15,FALSE)</f>
        <v>2026</v>
      </c>
      <c r="G96" s="132">
        <f>VLOOKUP(A96,Iedz_sk!$B$5:$Y$123,16,FALSE)</f>
        <v>2003</v>
      </c>
      <c r="H96" s="132">
        <f>VLOOKUP(A96,Iedz_sk!$B$5:$Y$123,17,FALSE)</f>
        <v>1980</v>
      </c>
      <c r="I96" s="172">
        <f>VLOOKUP(A96,Iedz_sk!$B$5:$Y$123,24,FALSE)</f>
        <v>1818</v>
      </c>
      <c r="J96" s="133">
        <f>VLOOKUP($A96,IKP!$Q$6:$AC$124,11,FALSE)</f>
        <v>13322.775869688638</v>
      </c>
      <c r="K96" s="133">
        <f>VLOOKUP($A96,IKP!$Q$6:$AC$124,12,FALSE)</f>
        <v>14168.373347408078</v>
      </c>
      <c r="L96" s="133">
        <f>VLOOKUP($A96,IKP!$Q$6:$AC$124,13,FALSE)</f>
        <v>14887.514970776561</v>
      </c>
      <c r="M96" s="172">
        <f>VLOOKUP($A96,IKP!$Q$6:$AD$124,14,FALSE)</f>
        <v>19888.514787335029</v>
      </c>
      <c r="N96" s="132">
        <f>((-0.0000000006)*IKP!$J$5 + 0.0461)*J96</f>
        <v>365.77635846130812</v>
      </c>
      <c r="O96" s="132">
        <f>((-0.0000000006)*IKP!$K$5 + 0.0461)*K96</f>
        <v>375.51954851179727</v>
      </c>
      <c r="P96" s="132">
        <f>((-0.0000000006)*IKP!$L$5 + 0.0461)*L96</f>
        <v>383.4938088404557</v>
      </c>
      <c r="Q96" s="172">
        <f>((-0.0000000006)*IKP!$M$5 + 0.0461)*M96</f>
        <v>427.36247477655229</v>
      </c>
      <c r="R96" s="132">
        <f t="shared" si="8"/>
        <v>87.786326030713937</v>
      </c>
      <c r="S96" s="132">
        <f t="shared" si="9"/>
        <v>90.124691642831351</v>
      </c>
      <c r="T96" s="132">
        <f t="shared" si="10"/>
        <v>92.038514121709369</v>
      </c>
      <c r="U96" s="172">
        <f t="shared" si="11"/>
        <v>102.56699394637256</v>
      </c>
      <c r="V96" s="175"/>
      <c r="W96" s="175"/>
    </row>
    <row r="97" spans="1:23" hidden="1" outlineLevel="1" x14ac:dyDescent="0.3">
      <c r="A97" s="98" t="s">
        <v>92</v>
      </c>
      <c r="B97" s="176" t="s">
        <v>25</v>
      </c>
      <c r="C97" s="176" t="s">
        <v>25</v>
      </c>
      <c r="D97" s="176" t="s">
        <v>438</v>
      </c>
      <c r="E97" s="180">
        <v>231</v>
      </c>
      <c r="F97" s="132">
        <f>VLOOKUP(A97,Iedz_sk!$B$5:$Y$123,15,FALSE)</f>
        <v>3290</v>
      </c>
      <c r="G97" s="132">
        <f>VLOOKUP(A97,Iedz_sk!$B$5:$Y$123,16,FALSE)</f>
        <v>3249</v>
      </c>
      <c r="H97" s="132">
        <f>VLOOKUP(A97,Iedz_sk!$B$5:$Y$123,17,FALSE)</f>
        <v>3207</v>
      </c>
      <c r="I97" s="172">
        <f>VLOOKUP(A97,Iedz_sk!$B$5:$Y$123,24,FALSE)</f>
        <v>2917</v>
      </c>
      <c r="J97" s="133">
        <f>VLOOKUP($A97,IKP!$Q$6:$AC$124,11,FALSE)</f>
        <v>28077.522318024428</v>
      </c>
      <c r="K97" s="133">
        <f>VLOOKUP($A97,IKP!$Q$6:$AC$124,12,FALSE)</f>
        <v>29623.600411494226</v>
      </c>
      <c r="L97" s="133">
        <f>VLOOKUP($A97,IKP!$Q$6:$AC$124,13,FALSE)</f>
        <v>30862.330422142168</v>
      </c>
      <c r="M97" s="172">
        <f>VLOOKUP($A97,IKP!$Q$6:$AD$124,14,FALSE)</f>
        <v>38500.826115146287</v>
      </c>
      <c r="N97" s="132">
        <f>((-0.0000000006)*IKP!$J$5 + 0.0461)*J97</f>
        <v>770.86742046521431</v>
      </c>
      <c r="O97" s="132">
        <f>((-0.0000000006)*IKP!$K$5 + 0.0461)*K97</f>
        <v>785.14595705887723</v>
      </c>
      <c r="P97" s="132">
        <f>((-0.0000000006)*IKP!$L$5 + 0.0461)*L97</f>
        <v>794.99585165909025</v>
      </c>
      <c r="Q97" s="172">
        <f>((-0.0000000006)*IKP!$M$5 + 0.0461)*M97</f>
        <v>827.30201352131064</v>
      </c>
      <c r="R97" s="132">
        <f t="shared" si="8"/>
        <v>185.00818091165144</v>
      </c>
      <c r="S97" s="132">
        <f t="shared" si="9"/>
        <v>188.43502969413055</v>
      </c>
      <c r="T97" s="132">
        <f t="shared" si="10"/>
        <v>190.79900439818167</v>
      </c>
      <c r="U97" s="172">
        <f t="shared" si="11"/>
        <v>198.55248324511459</v>
      </c>
      <c r="V97" s="175"/>
      <c r="W97" s="175"/>
    </row>
    <row r="98" spans="1:23" hidden="1" outlineLevel="1" x14ac:dyDescent="0.3">
      <c r="A98" s="98" t="s">
        <v>93</v>
      </c>
      <c r="B98" s="176" t="s">
        <v>442</v>
      </c>
      <c r="C98" s="176" t="s">
        <v>442</v>
      </c>
      <c r="D98" s="176" t="s">
        <v>439</v>
      </c>
      <c r="E98" s="180">
        <v>353</v>
      </c>
      <c r="F98" s="132">
        <f>VLOOKUP(A98,Iedz_sk!$B$5:$Y$123,15,FALSE)</f>
        <v>4817</v>
      </c>
      <c r="G98" s="132">
        <f>VLOOKUP(A98,Iedz_sk!$B$5:$Y$123,16,FALSE)</f>
        <v>4711</v>
      </c>
      <c r="H98" s="132">
        <f>VLOOKUP(A98,Iedz_sk!$B$5:$Y$123,17,FALSE)</f>
        <v>4605</v>
      </c>
      <c r="I98" s="172">
        <f>VLOOKUP(A98,Iedz_sk!$B$5:$Y$123,24,FALSE)</f>
        <v>3865</v>
      </c>
      <c r="J98" s="133">
        <f>VLOOKUP($A98,IKP!$Q$6:$AC$124,11,FALSE)</f>
        <v>45488.317852514134</v>
      </c>
      <c r="K98" s="133">
        <f>VLOOKUP($A98,IKP!$Q$6:$AC$124,12,FALSE)</f>
        <v>47864.879187497841</v>
      </c>
      <c r="L98" s="133">
        <f>VLOOKUP($A98,IKP!$Q$6:$AC$124,13,FALSE)</f>
        <v>49744.761201215231</v>
      </c>
      <c r="M98" s="172">
        <f>VLOOKUP($A98,IKP!$Q$6:$AD$124,14,FALSE)</f>
        <v>60860.853265825092</v>
      </c>
      <c r="N98" s="132">
        <f>((-0.0000000006)*IKP!$J$5 + 0.0461)*J98</f>
        <v>1248.8802198105273</v>
      </c>
      <c r="O98" s="132">
        <f>((-0.0000000006)*IKP!$K$5 + 0.0461)*K98</f>
        <v>1268.6140731426349</v>
      </c>
      <c r="P98" s="132">
        <f>((-0.0000000006)*IKP!$L$5 + 0.0461)*L98</f>
        <v>1281.3963902209173</v>
      </c>
      <c r="Q98" s="172">
        <f>((-0.0000000006)*IKP!$M$5 + 0.0461)*M98</f>
        <v>1307.7721060025317</v>
      </c>
      <c r="R98" s="132">
        <f t="shared" si="8"/>
        <v>299.73125275452657</v>
      </c>
      <c r="S98" s="132">
        <f t="shared" si="9"/>
        <v>304.46737755423237</v>
      </c>
      <c r="T98" s="132">
        <f t="shared" si="10"/>
        <v>307.53513365302013</v>
      </c>
      <c r="U98" s="172">
        <f t="shared" si="11"/>
        <v>313.86530544060759</v>
      </c>
      <c r="V98" s="175"/>
      <c r="W98" s="175"/>
    </row>
    <row r="99" spans="1:23" hidden="1" outlineLevel="1" x14ac:dyDescent="0.3">
      <c r="A99" s="98" t="s">
        <v>94</v>
      </c>
      <c r="B99" s="176" t="s">
        <v>63</v>
      </c>
      <c r="C99" s="176" t="s">
        <v>63</v>
      </c>
      <c r="D99" s="176" t="s">
        <v>439</v>
      </c>
      <c r="E99" s="180">
        <v>638</v>
      </c>
      <c r="F99" s="132">
        <f>VLOOKUP(A99,Iedz_sk!$B$5:$Y$123,15,FALSE)</f>
        <v>7282</v>
      </c>
      <c r="G99" s="132">
        <f>VLOOKUP(A99,Iedz_sk!$B$5:$Y$123,16,FALSE)</f>
        <v>7147</v>
      </c>
      <c r="H99" s="132">
        <f>VLOOKUP(A99,Iedz_sk!$B$5:$Y$123,17,FALSE)</f>
        <v>7012</v>
      </c>
      <c r="I99" s="172">
        <f>VLOOKUP(A99,Iedz_sk!$B$5:$Y$123,24,FALSE)</f>
        <v>6066</v>
      </c>
      <c r="J99" s="133">
        <f>VLOOKUP($A99,IKP!$Q$6:$AC$124,11,FALSE)</f>
        <v>94470.258640749729</v>
      </c>
      <c r="K99" s="133">
        <f>VLOOKUP($A99,IKP!$Q$6:$AC$124,12,FALSE)</f>
        <v>97749.063650586293</v>
      </c>
      <c r="L99" s="133">
        <f>VLOOKUP($A99,IKP!$Q$6:$AC$124,13,FALSE)</f>
        <v>99855.943734448971</v>
      </c>
      <c r="M99" s="172">
        <f>VLOOKUP($A99,IKP!$Q$6:$AD$124,14,FALSE)</f>
        <v>106850.25542710762</v>
      </c>
      <c r="N99" s="132">
        <f>((-0.0000000006)*IKP!$J$5 + 0.0461)*J99</f>
        <v>2593.6777385206392</v>
      </c>
      <c r="O99" s="132">
        <f>((-0.0000000006)*IKP!$K$5 + 0.0461)*K99</f>
        <v>2590.7479531681115</v>
      </c>
      <c r="P99" s="132">
        <f>((-0.0000000006)*IKP!$L$5 + 0.0461)*L99</f>
        <v>2572.2315828566102</v>
      </c>
      <c r="Q99" s="172">
        <f>((-0.0000000006)*IKP!$M$5 + 0.0461)*M99</f>
        <v>2295.9879145381974</v>
      </c>
      <c r="R99" s="132">
        <f t="shared" si="8"/>
        <v>622.48265724495343</v>
      </c>
      <c r="S99" s="132">
        <f t="shared" si="9"/>
        <v>621.77950876034674</v>
      </c>
      <c r="T99" s="132">
        <f t="shared" si="10"/>
        <v>617.33557988558653</v>
      </c>
      <c r="U99" s="172">
        <f t="shared" si="11"/>
        <v>551.03709948916742</v>
      </c>
      <c r="V99" s="175"/>
      <c r="W99" s="175"/>
    </row>
    <row r="100" spans="1:23" hidden="1" outlineLevel="1" x14ac:dyDescent="0.3">
      <c r="A100" s="98" t="s">
        <v>95</v>
      </c>
      <c r="B100" s="176" t="s">
        <v>51</v>
      </c>
      <c r="C100" s="176" t="s">
        <v>51</v>
      </c>
      <c r="D100" s="176" t="s">
        <v>437</v>
      </c>
      <c r="E100" s="180">
        <v>317</v>
      </c>
      <c r="F100" s="132">
        <f>VLOOKUP(A100,Iedz_sk!$B$5:$Y$123,15,FALSE)</f>
        <v>3241</v>
      </c>
      <c r="G100" s="132">
        <f>VLOOKUP(A100,Iedz_sk!$B$5:$Y$123,16,FALSE)</f>
        <v>3189</v>
      </c>
      <c r="H100" s="132">
        <f>VLOOKUP(A100,Iedz_sk!$B$5:$Y$123,17,FALSE)</f>
        <v>3138</v>
      </c>
      <c r="I100" s="172">
        <f>VLOOKUP(A100,Iedz_sk!$B$5:$Y$123,24,FALSE)</f>
        <v>2777</v>
      </c>
      <c r="J100" s="133">
        <f>VLOOKUP($A100,IKP!$Q$6:$AC$124,11,FALSE)</f>
        <v>27659.346453713428</v>
      </c>
      <c r="K100" s="133">
        <f>VLOOKUP($A100,IKP!$Q$6:$AC$124,12,FALSE)</f>
        <v>29076.534845261645</v>
      </c>
      <c r="L100" s="133">
        <f>VLOOKUP($A100,IKP!$Q$6:$AC$124,13,FALSE)</f>
        <v>30198.313958429102</v>
      </c>
      <c r="M100" s="172">
        <f>VLOOKUP($A100,IKP!$Q$6:$AD$124,14,FALSE)</f>
        <v>36652.997642016191</v>
      </c>
      <c r="N100" s="132">
        <f>((-0.0000000006)*IKP!$J$5 + 0.0461)*J100</f>
        <v>759.38641633062616</v>
      </c>
      <c r="O100" s="132">
        <f>((-0.0000000006)*IKP!$K$5 + 0.0461)*K100</f>
        <v>770.64649340128028</v>
      </c>
      <c r="P100" s="132">
        <f>((-0.0000000006)*IKP!$L$5 + 0.0461)*L100</f>
        <v>777.89117009860479</v>
      </c>
      <c r="Q100" s="172">
        <f>((-0.0000000006)*IKP!$M$5 + 0.0461)*M100</f>
        <v>787.59605469615337</v>
      </c>
      <c r="R100" s="132">
        <f t="shared" si="8"/>
        <v>182.25273991935026</v>
      </c>
      <c r="S100" s="132">
        <f t="shared" si="9"/>
        <v>184.95515841630726</v>
      </c>
      <c r="T100" s="132">
        <f t="shared" si="10"/>
        <v>186.69388082366518</v>
      </c>
      <c r="U100" s="172">
        <f t="shared" si="11"/>
        <v>189.02305312707679</v>
      </c>
      <c r="V100" s="175"/>
      <c r="W100" s="175"/>
    </row>
    <row r="101" spans="1:23" hidden="1" outlineLevel="1" x14ac:dyDescent="0.3">
      <c r="A101" s="98" t="s">
        <v>96</v>
      </c>
      <c r="B101" s="176" t="s">
        <v>96</v>
      </c>
      <c r="C101" s="176" t="s">
        <v>96</v>
      </c>
      <c r="D101" s="176" t="s">
        <v>438</v>
      </c>
      <c r="E101" s="180">
        <v>123</v>
      </c>
      <c r="F101" s="132">
        <f>VLOOKUP(A101,Iedz_sk!$B$5:$Y$123,15,FALSE)</f>
        <v>22868</v>
      </c>
      <c r="G101" s="132">
        <f>VLOOKUP(A101,Iedz_sk!$B$5:$Y$123,16,FALSE)</f>
        <v>23017</v>
      </c>
      <c r="H101" s="132">
        <f>VLOOKUP(A101,Iedz_sk!$B$5:$Y$123,17,FALSE)</f>
        <v>23165</v>
      </c>
      <c r="I101" s="172">
        <f>VLOOKUP(A101,Iedz_sk!$B$5:$Y$123,24,FALSE)</f>
        <v>24205</v>
      </c>
      <c r="J101" s="133">
        <f>VLOOKUP($A101,IKP!$Q$6:$AC$124,11,FALSE)</f>
        <v>296669.30439393915</v>
      </c>
      <c r="K101" s="133">
        <f>VLOOKUP($A101,IKP!$Q$6:$AC$124,12,FALSE)</f>
        <v>314802.0425417021</v>
      </c>
      <c r="L101" s="133">
        <f>VLOOKUP($A101,IKP!$Q$6:$AC$124,13,FALSE)</f>
        <v>329886.32866635913</v>
      </c>
      <c r="M101" s="172">
        <f>VLOOKUP($A101,IKP!$Q$6:$AD$124,14,FALSE)</f>
        <v>426361.75941528846</v>
      </c>
      <c r="N101" s="132">
        <f>((-0.0000000006)*IKP!$J$5 + 0.0461)*J101</f>
        <v>8145.0456638959049</v>
      </c>
      <c r="O101" s="132">
        <f>((-0.0000000006)*IKP!$K$5 + 0.0461)*K101</f>
        <v>8343.535138949268</v>
      </c>
      <c r="P101" s="132">
        <f>((-0.0000000006)*IKP!$L$5 + 0.0461)*L101</f>
        <v>8497.6817765078958</v>
      </c>
      <c r="Q101" s="172">
        <f>((-0.0000000006)*IKP!$M$5 + 0.0461)*M101</f>
        <v>9161.6200908996143</v>
      </c>
      <c r="R101" s="132">
        <f t="shared" si="8"/>
        <v>1954.8109593350173</v>
      </c>
      <c r="S101" s="132">
        <f t="shared" si="9"/>
        <v>2002.4484333478244</v>
      </c>
      <c r="T101" s="132">
        <f t="shared" si="10"/>
        <v>2039.443626361895</v>
      </c>
      <c r="U101" s="172">
        <f t="shared" si="11"/>
        <v>2198.7888218159073</v>
      </c>
      <c r="V101" s="175"/>
      <c r="W101" s="175"/>
    </row>
    <row r="102" spans="1:23" hidden="1" outlineLevel="1" x14ac:dyDescent="0.3">
      <c r="A102" s="98" t="s">
        <v>97</v>
      </c>
      <c r="B102" s="176" t="s">
        <v>97</v>
      </c>
      <c r="C102" s="176" t="s">
        <v>97</v>
      </c>
      <c r="D102" s="176" t="s">
        <v>176</v>
      </c>
      <c r="E102" s="180">
        <v>1682</v>
      </c>
      <c r="F102" s="132">
        <f>VLOOKUP(A102,Iedz_sk!$B$5:$Y$123,15,FALSE)</f>
        <v>21438</v>
      </c>
      <c r="G102" s="132">
        <f>VLOOKUP(A102,Iedz_sk!$B$5:$Y$123,16,FALSE)</f>
        <v>20996</v>
      </c>
      <c r="H102" s="132">
        <f>VLOOKUP(A102,Iedz_sk!$B$5:$Y$123,17,FALSE)</f>
        <v>20554</v>
      </c>
      <c r="I102" s="172">
        <f>VLOOKUP(A102,Iedz_sk!$B$5:$Y$123,24,FALSE)</f>
        <v>17459</v>
      </c>
      <c r="J102" s="133">
        <f>VLOOKUP($A102,IKP!$Q$6:$AC$124,11,FALSE)</f>
        <v>205401.02454108986</v>
      </c>
      <c r="K102" s="133">
        <f>VLOOKUP($A102,IKP!$Q$6:$AC$124,12,FALSE)</f>
        <v>215264.6689305875</v>
      </c>
      <c r="L102" s="133">
        <f>VLOOKUP($A102,IKP!$Q$6:$AC$124,13,FALSE)</f>
        <v>222784.46540215815</v>
      </c>
      <c r="M102" s="172">
        <f>VLOOKUP($A102,IKP!$Q$6:$AD$124,14,FALSE)</f>
        <v>263051.30402429949</v>
      </c>
      <c r="N102" s="132">
        <f>((-0.0000000006)*IKP!$J$5 + 0.0461)*J102</f>
        <v>5639.2781441137831</v>
      </c>
      <c r="O102" s="132">
        <f>((-0.0000000006)*IKP!$K$5 + 0.0461)*K102</f>
        <v>5705.3896947276353</v>
      </c>
      <c r="P102" s="132">
        <f>((-0.0000000006)*IKP!$L$5 + 0.0461)*L102</f>
        <v>5738.7994809923484</v>
      </c>
      <c r="Q102" s="172">
        <f>((-0.0000000006)*IKP!$M$5 + 0.0461)*M102</f>
        <v>5652.4208812521101</v>
      </c>
      <c r="R102" s="132">
        <f t="shared" si="8"/>
        <v>1353.4267545873079</v>
      </c>
      <c r="S102" s="132">
        <f t="shared" si="9"/>
        <v>1369.2935267346327</v>
      </c>
      <c r="T102" s="132">
        <f t="shared" si="10"/>
        <v>1377.3118754381637</v>
      </c>
      <c r="U102" s="172">
        <f t="shared" si="11"/>
        <v>1356.5810115005063</v>
      </c>
      <c r="V102" s="175"/>
      <c r="W102" s="175"/>
    </row>
    <row r="103" spans="1:23" hidden="1" outlineLevel="1" x14ac:dyDescent="0.3">
      <c r="A103" s="98" t="s">
        <v>98</v>
      </c>
      <c r="B103" s="176" t="s">
        <v>98</v>
      </c>
      <c r="C103" s="176" t="s">
        <v>98</v>
      </c>
      <c r="D103" s="176" t="s">
        <v>439</v>
      </c>
      <c r="E103" s="180">
        <v>48</v>
      </c>
      <c r="F103" s="132">
        <f>VLOOKUP(A103,Iedz_sk!$B$5:$Y$123,15,FALSE)</f>
        <v>7079</v>
      </c>
      <c r="G103" s="132">
        <f>VLOOKUP(A103,Iedz_sk!$B$5:$Y$123,16,FALSE)</f>
        <v>6951</v>
      </c>
      <c r="H103" s="132">
        <f>VLOOKUP(A103,Iedz_sk!$B$5:$Y$123,17,FALSE)</f>
        <v>6823</v>
      </c>
      <c r="I103" s="172">
        <f>VLOOKUP(A103,Iedz_sk!$B$5:$Y$123,24,FALSE)</f>
        <v>5926</v>
      </c>
      <c r="J103" s="133">
        <f>VLOOKUP($A103,IKP!$Q$6:$AC$124,11,FALSE)</f>
        <v>91836.715314181172</v>
      </c>
      <c r="K103" s="133">
        <f>VLOOKUP($A103,IKP!$Q$6:$AC$124,12,FALSE)</f>
        <v>95068.384138131427</v>
      </c>
      <c r="L103" s="133">
        <f>VLOOKUP($A103,IKP!$Q$6:$AC$124,13,FALSE)</f>
        <v>97164.447247596312</v>
      </c>
      <c r="M103" s="172">
        <f>VLOOKUP($A103,IKP!$Q$6:$AD$124,14,FALSE)</f>
        <v>104384.20930778763</v>
      </c>
      <c r="N103" s="132">
        <f>((-0.0000000006)*IKP!$J$5 + 0.0461)*J103</f>
        <v>2521.3738960433402</v>
      </c>
      <c r="O103" s="132">
        <f>((-0.0000000006)*IKP!$K$5 + 0.0461)*K103</f>
        <v>2519.6990377041475</v>
      </c>
      <c r="P103" s="132">
        <f>((-0.0000000006)*IKP!$L$5 + 0.0461)*L103</f>
        <v>2502.9001839461853</v>
      </c>
      <c r="Q103" s="172">
        <f>((-0.0000000006)*IKP!$M$5 + 0.0461)*M103</f>
        <v>2242.9977549543946</v>
      </c>
      <c r="R103" s="132">
        <f t="shared" ref="R103:R124" si="12">N103*$X$6*$X$5</f>
        <v>605.12973505040168</v>
      </c>
      <c r="S103" s="132">
        <f t="shared" ref="S103:S124" si="13">O103*$X$6*$X$5</f>
        <v>604.72776904899536</v>
      </c>
      <c r="T103" s="132">
        <f t="shared" ref="T103:T124" si="14">P103*$X$6*$X$5</f>
        <v>600.69604414708442</v>
      </c>
      <c r="U103" s="172">
        <f t="shared" si="11"/>
        <v>538.31946118905466</v>
      </c>
      <c r="V103" s="175"/>
      <c r="W103" s="175"/>
    </row>
    <row r="104" spans="1:23" hidden="1" outlineLevel="1" x14ac:dyDescent="0.3">
      <c r="A104" s="98" t="s">
        <v>99</v>
      </c>
      <c r="B104" s="176" t="s">
        <v>98</v>
      </c>
      <c r="C104" s="176" t="s">
        <v>98</v>
      </c>
      <c r="D104" s="176" t="s">
        <v>439</v>
      </c>
      <c r="E104" s="180">
        <v>230</v>
      </c>
      <c r="F104" s="132">
        <f>VLOOKUP(A104,Iedz_sk!$B$5:$Y$123,15,FALSE)</f>
        <v>2151</v>
      </c>
      <c r="G104" s="132">
        <f>VLOOKUP(A104,Iedz_sk!$B$5:$Y$123,16,FALSE)</f>
        <v>2135</v>
      </c>
      <c r="H104" s="132">
        <f>VLOOKUP(A104,Iedz_sk!$B$5:$Y$123,17,FALSE)</f>
        <v>2120</v>
      </c>
      <c r="I104" s="172">
        <f>VLOOKUP(A104,Iedz_sk!$B$5:$Y$123,24,FALSE)</f>
        <v>2011</v>
      </c>
      <c r="J104" s="133">
        <f>VLOOKUP($A104,IKP!$Q$6:$AC$124,11,FALSE)</f>
        <v>27905.1807657584</v>
      </c>
      <c r="K104" s="133">
        <f>VLOOKUP($A104,IKP!$Q$6:$AC$124,12,FALSE)</f>
        <v>29200.25897495477</v>
      </c>
      <c r="L104" s="133">
        <f>VLOOKUP($A104,IKP!$Q$6:$AC$124,13,FALSE)</f>
        <v>30190.330963638309</v>
      </c>
      <c r="M104" s="172">
        <f>VLOOKUP($A104,IKP!$Q$6:$AD$124,14,FALSE)</f>
        <v>35422.991042517875</v>
      </c>
      <c r="N104" s="132">
        <f>((-0.0000000006)*IKP!$J$5 + 0.0461)*J104</f>
        <v>766.13578900822506</v>
      </c>
      <c r="O104" s="132">
        <f>((-0.0000000006)*IKP!$K$5 + 0.0461)*K104</f>
        <v>773.92568630389223</v>
      </c>
      <c r="P104" s="132">
        <f>((-0.0000000006)*IKP!$L$5 + 0.0461)*L104</f>
        <v>777.68553275185582</v>
      </c>
      <c r="Q104" s="172">
        <f>((-0.0000000006)*IKP!$M$5 + 0.0461)*M104</f>
        <v>761.16579230733839</v>
      </c>
      <c r="R104" s="132">
        <f t="shared" si="12"/>
        <v>183.87258936197401</v>
      </c>
      <c r="S104" s="132">
        <f t="shared" si="13"/>
        <v>185.74216471293417</v>
      </c>
      <c r="T104" s="132">
        <f t="shared" si="14"/>
        <v>186.64452786044538</v>
      </c>
      <c r="U104" s="172">
        <f t="shared" si="11"/>
        <v>182.67979015376122</v>
      </c>
      <c r="V104" s="175"/>
      <c r="W104" s="175"/>
    </row>
    <row r="105" spans="1:23" hidden="1" outlineLevel="1" x14ac:dyDescent="0.3">
      <c r="A105" s="98" t="s">
        <v>100</v>
      </c>
      <c r="B105" s="176" t="s">
        <v>100</v>
      </c>
      <c r="C105" s="176" t="s">
        <v>100</v>
      </c>
      <c r="D105" s="176" t="s">
        <v>438</v>
      </c>
      <c r="E105" s="180">
        <v>361</v>
      </c>
      <c r="F105" s="132">
        <f>VLOOKUP(A105,Iedz_sk!$B$5:$Y$123,15,FALSE)</f>
        <v>18081</v>
      </c>
      <c r="G105" s="132">
        <f>VLOOKUP(A105,Iedz_sk!$B$5:$Y$123,16,FALSE)</f>
        <v>18101</v>
      </c>
      <c r="H105" s="132">
        <f>VLOOKUP(A105,Iedz_sk!$B$5:$Y$123,17,FALSE)</f>
        <v>18121</v>
      </c>
      <c r="I105" s="172">
        <f>VLOOKUP(A105,Iedz_sk!$B$5:$Y$123,24,FALSE)</f>
        <v>18259</v>
      </c>
      <c r="J105" s="133">
        <f>VLOOKUP($A105,IKP!$Q$6:$AC$124,11,FALSE)</f>
        <v>234566.97974229552</v>
      </c>
      <c r="K105" s="133">
        <f>VLOOKUP($A105,IKP!$Q$6:$AC$124,12,FALSE)</f>
        <v>247566.22374972192</v>
      </c>
      <c r="L105" s="133">
        <f>VLOOKUP($A105,IKP!$Q$6:$AC$124,13,FALSE)</f>
        <v>258056.12612834424</v>
      </c>
      <c r="M105" s="172">
        <f>VLOOKUP($A105,IKP!$Q$6:$AD$124,14,FALSE)</f>
        <v>321625.25780474086</v>
      </c>
      <c r="N105" s="132">
        <f>((-0.0000000006)*IKP!$J$5 + 0.0461)*J105</f>
        <v>6440.0284523745786</v>
      </c>
      <c r="O105" s="132">
        <f>((-0.0000000006)*IKP!$K$5 + 0.0461)*K105</f>
        <v>6561.5123408837253</v>
      </c>
      <c r="P105" s="132">
        <f>((-0.0000000006)*IKP!$L$5 + 0.0461)*L105</f>
        <v>6647.3771410360287</v>
      </c>
      <c r="Q105" s="172">
        <f>((-0.0000000006)*IKP!$M$5 + 0.0461)*M105</f>
        <v>6911.0523131475347</v>
      </c>
      <c r="R105" s="132">
        <f t="shared" si="12"/>
        <v>1545.6068285698989</v>
      </c>
      <c r="S105" s="132">
        <f t="shared" si="13"/>
        <v>1574.7629618120941</v>
      </c>
      <c r="T105" s="132">
        <f t="shared" si="14"/>
        <v>1595.3705138486469</v>
      </c>
      <c r="U105" s="172">
        <f t="shared" si="11"/>
        <v>1658.6525551554084</v>
      </c>
      <c r="V105" s="175"/>
      <c r="W105" s="175"/>
    </row>
    <row r="106" spans="1:23" hidden="1" outlineLevel="1" x14ac:dyDescent="0.3">
      <c r="A106" s="98" t="s">
        <v>101</v>
      </c>
      <c r="B106" s="176" t="s">
        <v>11</v>
      </c>
      <c r="C106" s="176" t="s">
        <v>11</v>
      </c>
      <c r="D106" s="176" t="s">
        <v>438</v>
      </c>
      <c r="E106" s="180">
        <v>105</v>
      </c>
      <c r="F106" s="132">
        <f>VLOOKUP(A106,Iedz_sk!$B$5:$Y$123,15,FALSE)</f>
        <v>3417</v>
      </c>
      <c r="G106" s="132">
        <f>VLOOKUP(A106,Iedz_sk!$B$5:$Y$123,16,FALSE)</f>
        <v>3351</v>
      </c>
      <c r="H106" s="132">
        <f>VLOOKUP(A106,Iedz_sk!$B$5:$Y$123,17,FALSE)</f>
        <v>3285</v>
      </c>
      <c r="I106" s="172">
        <f>VLOOKUP(A106,Iedz_sk!$B$5:$Y$123,24,FALSE)</f>
        <v>2822</v>
      </c>
      <c r="J106" s="133">
        <f>VLOOKUP($A106,IKP!$Q$6:$AC$124,11,FALSE)</f>
        <v>29161.365884708048</v>
      </c>
      <c r="K106" s="133">
        <f>VLOOKUP($A106,IKP!$Q$6:$AC$124,12,FALSE)</f>
        <v>30553.611874089613</v>
      </c>
      <c r="L106" s="133">
        <f>VLOOKUP($A106,IKP!$Q$6:$AC$124,13,FALSE)</f>
        <v>31612.957728948244</v>
      </c>
      <c r="M106" s="172">
        <f>VLOOKUP($A106,IKP!$Q$6:$AD$124,14,FALSE)</f>
        <v>37246.942508379434</v>
      </c>
      <c r="N106" s="132">
        <f>((-0.0000000006)*IKP!$J$5 + 0.0461)*J106</f>
        <v>800.6243087324126</v>
      </c>
      <c r="O106" s="132">
        <f>((-0.0000000006)*IKP!$K$5 + 0.0461)*K106</f>
        <v>809.79504527679217</v>
      </c>
      <c r="P106" s="132">
        <f>((-0.0000000006)*IKP!$L$5 + 0.0461)*L106</f>
        <v>814.33157864050872</v>
      </c>
      <c r="Q106" s="172">
        <f>((-0.0000000006)*IKP!$M$5 + 0.0461)*M106</f>
        <v>800.35868431852532</v>
      </c>
      <c r="R106" s="132">
        <f t="shared" si="12"/>
        <v>192.14983409577903</v>
      </c>
      <c r="S106" s="132">
        <f t="shared" si="13"/>
        <v>194.35081086643012</v>
      </c>
      <c r="T106" s="132">
        <f t="shared" si="14"/>
        <v>195.43957887372213</v>
      </c>
      <c r="U106" s="172">
        <f t="shared" si="11"/>
        <v>192.08608423644608</v>
      </c>
      <c r="V106" s="175"/>
      <c r="W106" s="175"/>
    </row>
    <row r="107" spans="1:23" hidden="1" outlineLevel="1" x14ac:dyDescent="0.3">
      <c r="A107" s="98" t="s">
        <v>102</v>
      </c>
      <c r="B107" s="176" t="s">
        <v>59</v>
      </c>
      <c r="C107" s="176" t="s">
        <v>59</v>
      </c>
      <c r="D107" s="176" t="s">
        <v>440</v>
      </c>
      <c r="E107" s="180">
        <v>557</v>
      </c>
      <c r="F107" s="132">
        <f>VLOOKUP(A107,Iedz_sk!$B$5:$Y$123,15,FALSE)</f>
        <v>4526</v>
      </c>
      <c r="G107" s="132">
        <f>VLOOKUP(A107,Iedz_sk!$B$5:$Y$123,16,FALSE)</f>
        <v>4445</v>
      </c>
      <c r="H107" s="132">
        <f>VLOOKUP(A107,Iedz_sk!$B$5:$Y$123,17,FALSE)</f>
        <v>4365</v>
      </c>
      <c r="I107" s="172">
        <f>VLOOKUP(A107,Iedz_sk!$B$5:$Y$123,24,FALSE)</f>
        <v>3800</v>
      </c>
      <c r="J107" s="133">
        <f>VLOOKUP($A107,IKP!$Q$6:$AC$124,11,FALSE)</f>
        <v>43364.354747316575</v>
      </c>
      <c r="K107" s="133">
        <f>VLOOKUP($A107,IKP!$Q$6:$AC$124,12,FALSE)</f>
        <v>45573.035501831844</v>
      </c>
      <c r="L107" s="133">
        <f>VLOOKUP($A107,IKP!$Q$6:$AC$124,13,FALSE)</f>
        <v>47312.162668114252</v>
      </c>
      <c r="M107" s="172">
        <f>VLOOKUP($A107,IKP!$Q$6:$AD$124,14,FALSE)</f>
        <v>57253.849320828114</v>
      </c>
      <c r="N107" s="132">
        <f>((-0.0000000006)*IKP!$J$5 + 0.0461)*J107</f>
        <v>1190.5668849826936</v>
      </c>
      <c r="O107" s="132">
        <f>((-0.0000000006)*IKP!$K$5 + 0.0461)*K107</f>
        <v>1207.8708893629423</v>
      </c>
      <c r="P107" s="132">
        <f>((-0.0000000006)*IKP!$L$5 + 0.0461)*L107</f>
        <v>1218.7340534461225</v>
      </c>
      <c r="Q107" s="172">
        <f>((-0.0000000006)*IKP!$M$5 + 0.0461)*M107</f>
        <v>1230.2651554360511</v>
      </c>
      <c r="R107" s="132">
        <f t="shared" si="12"/>
        <v>285.73605239584646</v>
      </c>
      <c r="S107" s="132">
        <f t="shared" si="13"/>
        <v>289.88901344710615</v>
      </c>
      <c r="T107" s="132">
        <f t="shared" si="14"/>
        <v>292.49617282706942</v>
      </c>
      <c r="U107" s="172">
        <f t="shared" si="11"/>
        <v>295.26363730465226</v>
      </c>
      <c r="V107" s="175"/>
      <c r="W107" s="175"/>
    </row>
    <row r="108" spans="1:23" hidden="1" outlineLevel="1" x14ac:dyDescent="0.3">
      <c r="A108" s="98" t="s">
        <v>103</v>
      </c>
      <c r="B108" s="176" t="s">
        <v>103</v>
      </c>
      <c r="C108" s="176" t="s">
        <v>103</v>
      </c>
      <c r="D108" s="176" t="s">
        <v>439</v>
      </c>
      <c r="E108" s="180">
        <v>947</v>
      </c>
      <c r="F108" s="132">
        <f>VLOOKUP(A108,Iedz_sk!$B$5:$Y$123,15,FALSE)</f>
        <v>11945</v>
      </c>
      <c r="G108" s="132">
        <f>VLOOKUP(A108,Iedz_sk!$B$5:$Y$123,16,FALSE)</f>
        <v>11724</v>
      </c>
      <c r="H108" s="132">
        <f>VLOOKUP(A108,Iedz_sk!$B$5:$Y$123,17,FALSE)</f>
        <v>11503</v>
      </c>
      <c r="I108" s="172">
        <f>VLOOKUP(A108,Iedz_sk!$B$5:$Y$123,24,FALSE)</f>
        <v>9956</v>
      </c>
      <c r="J108" s="133">
        <f>VLOOKUP($A108,IKP!$Q$6:$AC$124,11,FALSE)</f>
        <v>112800.07406026185</v>
      </c>
      <c r="K108" s="133">
        <f>VLOOKUP($A108,IKP!$Q$6:$AC$124,12,FALSE)</f>
        <v>119118.6252588038</v>
      </c>
      <c r="L108" s="133">
        <f>VLOOKUP($A108,IKP!$Q$6:$AC$124,13,FALSE)</f>
        <v>124259.28080294872</v>
      </c>
      <c r="M108" s="172">
        <f>VLOOKUP($A108,IKP!$Q$6:$AD$124,14,FALSE)</f>
        <v>156773.77881359757</v>
      </c>
      <c r="N108" s="132">
        <f>((-0.0000000006)*IKP!$J$5 + 0.0461)*J108</f>
        <v>3096.9221975579708</v>
      </c>
      <c r="O108" s="132">
        <f>((-0.0000000006)*IKP!$K$5 + 0.0461)*K108</f>
        <v>3157.1282941040658</v>
      </c>
      <c r="P108" s="132">
        <f>((-0.0000000006)*IKP!$L$5 + 0.0461)*L108</f>
        <v>3200.8474867993946</v>
      </c>
      <c r="Q108" s="172">
        <f>((-0.0000000006)*IKP!$M$5 + 0.0461)*M108</f>
        <v>3368.7397379977247</v>
      </c>
      <c r="R108" s="132">
        <f t="shared" si="12"/>
        <v>743.26132741391302</v>
      </c>
      <c r="S108" s="132">
        <f t="shared" si="13"/>
        <v>757.71079058497583</v>
      </c>
      <c r="T108" s="132">
        <f t="shared" si="14"/>
        <v>768.20339683185477</v>
      </c>
      <c r="U108" s="172">
        <f t="shared" si="11"/>
        <v>808.49753711945402</v>
      </c>
      <c r="V108" s="175"/>
      <c r="W108" s="175"/>
    </row>
    <row r="109" spans="1:23" hidden="1" outlineLevel="1" x14ac:dyDescent="0.3">
      <c r="A109" s="98" t="s">
        <v>104</v>
      </c>
      <c r="B109" s="176" t="s">
        <v>89</v>
      </c>
      <c r="C109" s="176" t="s">
        <v>89</v>
      </c>
      <c r="D109" s="176" t="s">
        <v>438</v>
      </c>
      <c r="E109" s="180">
        <v>53</v>
      </c>
      <c r="F109" s="132">
        <f>VLOOKUP(A109,Iedz_sk!$B$5:$Y$123,15,FALSE)</f>
        <v>12201</v>
      </c>
      <c r="G109" s="132">
        <f>VLOOKUP(A109,Iedz_sk!$B$5:$Y$123,16,FALSE)</f>
        <v>12096</v>
      </c>
      <c r="H109" s="132">
        <f>VLOOKUP(A109,Iedz_sk!$B$5:$Y$123,17,FALSE)</f>
        <v>11992</v>
      </c>
      <c r="I109" s="172">
        <f>VLOOKUP(A109,Iedz_sk!$B$5:$Y$123,24,FALSE)</f>
        <v>11259</v>
      </c>
      <c r="J109" s="133">
        <f>VLOOKUP($A109,IKP!$Q$6:$AC$124,11,FALSE)</f>
        <v>158285.03511065469</v>
      </c>
      <c r="K109" s="133">
        <f>VLOOKUP($A109,IKP!$Q$6:$AC$124,12,FALSE)</f>
        <v>165436.22134007161</v>
      </c>
      <c r="L109" s="133">
        <f>VLOOKUP($A109,IKP!$Q$6:$AC$124,13,FALSE)</f>
        <v>170774.74005469368</v>
      </c>
      <c r="M109" s="172">
        <f>VLOOKUP($A109,IKP!$Q$6:$AD$124,14,FALSE)</f>
        <v>198322.95183874128</v>
      </c>
      <c r="N109" s="132">
        <f>((-0.0000000006)*IKP!$J$5 + 0.0461)*J109</f>
        <v>4345.7102564804063</v>
      </c>
      <c r="O109" s="132">
        <f>((-0.0000000006)*IKP!$K$5 + 0.0461)*K109</f>
        <v>4384.7330686331989</v>
      </c>
      <c r="P109" s="132">
        <f>((-0.0000000006)*IKP!$L$5 + 0.0461)*L109</f>
        <v>4399.0589192265361</v>
      </c>
      <c r="Q109" s="172">
        <f>((-0.0000000006)*IKP!$M$5 + 0.0461)*M109</f>
        <v>4261.5443339573958</v>
      </c>
      <c r="R109" s="132">
        <f t="shared" si="12"/>
        <v>1042.9704615552976</v>
      </c>
      <c r="S109" s="132">
        <f t="shared" si="13"/>
        <v>1052.3359364719677</v>
      </c>
      <c r="T109" s="132">
        <f t="shared" si="14"/>
        <v>1055.7741406143687</v>
      </c>
      <c r="U109" s="172">
        <f t="shared" si="11"/>
        <v>1022.770640149775</v>
      </c>
      <c r="V109" s="175"/>
      <c r="W109" s="175"/>
    </row>
    <row r="110" spans="1:23" hidden="1" outlineLevel="1" x14ac:dyDescent="0.3">
      <c r="A110" s="98" t="s">
        <v>105</v>
      </c>
      <c r="B110" s="176" t="s">
        <v>442</v>
      </c>
      <c r="C110" s="176" t="s">
        <v>442</v>
      </c>
      <c r="D110" s="176" t="s">
        <v>439</v>
      </c>
      <c r="E110" s="180">
        <v>375</v>
      </c>
      <c r="F110" s="132">
        <f>VLOOKUP(A110,Iedz_sk!$B$5:$Y$123,15,FALSE)</f>
        <v>2892</v>
      </c>
      <c r="G110" s="132">
        <f>VLOOKUP(A110,Iedz_sk!$B$5:$Y$123,16,FALSE)</f>
        <v>2758</v>
      </c>
      <c r="H110" s="132">
        <f>VLOOKUP(A110,Iedz_sk!$B$5:$Y$123,17,FALSE)</f>
        <v>2624</v>
      </c>
      <c r="I110" s="172">
        <f>VLOOKUP(A110,Iedz_sk!$B$5:$Y$123,24,FALSE)</f>
        <v>1684</v>
      </c>
      <c r="J110" s="133">
        <f>VLOOKUP($A110,IKP!$Q$6:$AC$124,11,FALSE)</f>
        <v>27309.988629742758</v>
      </c>
      <c r="K110" s="133">
        <f>VLOOKUP($A110,IKP!$Q$6:$AC$124,12,FALSE)</f>
        <v>28021.935215266196</v>
      </c>
      <c r="L110" s="133">
        <f>VLOOKUP($A110,IKP!$Q$6:$AC$124,13,FALSE)</f>
        <v>28345.331898368899</v>
      </c>
      <c r="M110" s="172">
        <f>VLOOKUP($A110,IKP!$Q$6:$AD$124,14,FALSE)</f>
        <v>26517.380827852379</v>
      </c>
      <c r="N110" s="132">
        <f>((-0.0000000006)*IKP!$J$5 + 0.0461)*J110</f>
        <v>749.79480915342413</v>
      </c>
      <c r="O110" s="132">
        <f>((-0.0000000006)*IKP!$K$5 + 0.0461)*K110</f>
        <v>742.69531176552482</v>
      </c>
      <c r="P110" s="132">
        <f>((-0.0000000006)*IKP!$L$5 + 0.0461)*L110</f>
        <v>730.15941974803195</v>
      </c>
      <c r="Q110" s="172">
        <f>((-0.0000000006)*IKP!$M$5 + 0.0461)*M110</f>
        <v>569.80290465931785</v>
      </c>
      <c r="R110" s="132">
        <f t="shared" si="12"/>
        <v>179.9507541968218</v>
      </c>
      <c r="S110" s="132">
        <f t="shared" si="13"/>
        <v>178.24687482372596</v>
      </c>
      <c r="T110" s="132">
        <f t="shared" si="14"/>
        <v>175.23826073952768</v>
      </c>
      <c r="U110" s="172">
        <f t="shared" si="11"/>
        <v>136.75269711823628</v>
      </c>
      <c r="V110" s="175"/>
      <c r="W110" s="175"/>
    </row>
    <row r="111" spans="1:23" hidden="1" outlineLevel="1" x14ac:dyDescent="0.3">
      <c r="A111" s="98" t="s">
        <v>106</v>
      </c>
      <c r="B111" s="176" t="s">
        <v>106</v>
      </c>
      <c r="C111" s="176" t="s">
        <v>106</v>
      </c>
      <c r="D111" s="176" t="s">
        <v>440</v>
      </c>
      <c r="E111" s="180">
        <v>1763</v>
      </c>
      <c r="F111" s="132">
        <f>VLOOKUP(A111,Iedz_sk!$B$5:$Y$123,15,FALSE)</f>
        <v>27391</v>
      </c>
      <c r="G111" s="132">
        <f>VLOOKUP(A111,Iedz_sk!$B$5:$Y$123,16,FALSE)</f>
        <v>26899</v>
      </c>
      <c r="H111" s="132">
        <f>VLOOKUP(A111,Iedz_sk!$B$5:$Y$123,17,FALSE)</f>
        <v>26407</v>
      </c>
      <c r="I111" s="172">
        <f>VLOOKUP(A111,Iedz_sk!$B$5:$Y$123,24,FALSE)</f>
        <v>22962</v>
      </c>
      <c r="J111" s="133">
        <f>VLOOKUP($A111,IKP!$Q$6:$AC$124,11,FALSE)</f>
        <v>262437.70236052771</v>
      </c>
      <c r="K111" s="133">
        <f>VLOOKUP($A111,IKP!$Q$6:$AC$124,12,FALSE)</f>
        <v>275786.07018307643</v>
      </c>
      <c r="L111" s="133">
        <f>VLOOKUP($A111,IKP!$Q$6:$AC$124,13,FALSE)</f>
        <v>286225.03541280481</v>
      </c>
      <c r="M111" s="172">
        <f>VLOOKUP($A111,IKP!$Q$6:$AD$124,14,FALSE)</f>
        <v>345963.91792233026</v>
      </c>
      <c r="N111" s="132">
        <f>((-0.0000000006)*IKP!$J$5 + 0.0461)*J111</f>
        <v>7205.2181941142208</v>
      </c>
      <c r="O111" s="132">
        <f>((-0.0000000006)*IKP!$K$5 + 0.0461)*K111</f>
        <v>7309.4531052809416</v>
      </c>
      <c r="P111" s="132">
        <f>((-0.0000000006)*IKP!$L$5 + 0.0461)*L111</f>
        <v>7372.9920158881459</v>
      </c>
      <c r="Q111" s="172">
        <f>((-0.0000000006)*IKP!$M$5 + 0.0461)*M111</f>
        <v>7434.0390787164743</v>
      </c>
      <c r="R111" s="132">
        <f t="shared" si="12"/>
        <v>1729.252366587413</v>
      </c>
      <c r="S111" s="132">
        <f t="shared" si="13"/>
        <v>1754.2687452674261</v>
      </c>
      <c r="T111" s="132">
        <f t="shared" si="14"/>
        <v>1769.518083813155</v>
      </c>
      <c r="U111" s="172">
        <f t="shared" si="11"/>
        <v>1784.1693788919538</v>
      </c>
      <c r="V111" s="175"/>
      <c r="W111" s="175"/>
    </row>
    <row r="112" spans="1:23" hidden="1" outlineLevel="1" x14ac:dyDescent="0.3">
      <c r="A112" s="98" t="s">
        <v>107</v>
      </c>
      <c r="B112" s="176" t="s">
        <v>35</v>
      </c>
      <c r="C112" s="176" t="s">
        <v>35</v>
      </c>
      <c r="D112" s="176" t="s">
        <v>438</v>
      </c>
      <c r="E112" s="180">
        <v>224</v>
      </c>
      <c r="F112" s="132">
        <f>VLOOKUP(A112,Iedz_sk!$B$5:$Y$123,15,FALSE)</f>
        <v>3273</v>
      </c>
      <c r="G112" s="132">
        <f>VLOOKUP(A112,Iedz_sk!$B$5:$Y$123,16,FALSE)</f>
        <v>3233</v>
      </c>
      <c r="H112" s="132">
        <f>VLOOKUP(A112,Iedz_sk!$B$5:$Y$123,17,FALSE)</f>
        <v>3192</v>
      </c>
      <c r="I112" s="172">
        <f>VLOOKUP(A112,Iedz_sk!$B$5:$Y$123,24,FALSE)</f>
        <v>2910</v>
      </c>
      <c r="J112" s="133">
        <f>VLOOKUP($A112,IKP!$Q$6:$AC$124,11,FALSE)</f>
        <v>27932.440895712447</v>
      </c>
      <c r="K112" s="133">
        <f>VLOOKUP($A112,IKP!$Q$6:$AC$124,12,FALSE)</f>
        <v>29477.71626049887</v>
      </c>
      <c r="L112" s="133">
        <f>VLOOKUP($A112,IKP!$Q$6:$AC$124,13,FALSE)</f>
        <v>30717.979016987152</v>
      </c>
      <c r="M112" s="172">
        <f>VLOOKUP($A112,IKP!$Q$6:$AD$124,14,FALSE)</f>
        <v>38408.434691489783</v>
      </c>
      <c r="N112" s="132">
        <f>((-0.0000000006)*IKP!$J$5 + 0.0461)*J112</f>
        <v>766.88421494913268</v>
      </c>
      <c r="O112" s="132">
        <f>((-0.0000000006)*IKP!$K$5 + 0.0461)*K112</f>
        <v>781.27943341685136</v>
      </c>
      <c r="P112" s="132">
        <f>((-0.0000000006)*IKP!$L$5 + 0.0461)*L112</f>
        <v>791.27744262420208</v>
      </c>
      <c r="Q112" s="172">
        <f>((-0.0000000006)*IKP!$M$5 + 0.0461)*M112</f>
        <v>825.3167155800528</v>
      </c>
      <c r="R112" s="132">
        <f t="shared" si="12"/>
        <v>184.05221158779185</v>
      </c>
      <c r="S112" s="132">
        <f t="shared" si="13"/>
        <v>187.50706402004434</v>
      </c>
      <c r="T112" s="132">
        <f t="shared" si="14"/>
        <v>189.90658622980848</v>
      </c>
      <c r="U112" s="172">
        <f t="shared" si="11"/>
        <v>198.07601173921267</v>
      </c>
      <c r="V112" s="175"/>
      <c r="W112" s="175"/>
    </row>
    <row r="113" spans="1:23" hidden="1" outlineLevel="1" x14ac:dyDescent="0.3">
      <c r="A113" s="98" t="s">
        <v>108</v>
      </c>
      <c r="B113" s="176" t="s">
        <v>108</v>
      </c>
      <c r="C113" s="176" t="s">
        <v>108</v>
      </c>
      <c r="D113" s="176" t="s">
        <v>440</v>
      </c>
      <c r="E113" s="180">
        <v>1194</v>
      </c>
      <c r="F113" s="132">
        <f>VLOOKUP(A113,Iedz_sk!$B$5:$Y$123,15,FALSE)</f>
        <v>27614</v>
      </c>
      <c r="G113" s="132">
        <f>VLOOKUP(A113,Iedz_sk!$B$5:$Y$123,16,FALSE)</f>
        <v>27160</v>
      </c>
      <c r="H113" s="132">
        <f>VLOOKUP(A113,Iedz_sk!$B$5:$Y$123,17,FALSE)</f>
        <v>26707</v>
      </c>
      <c r="I113" s="172">
        <f>VLOOKUP(A113,Iedz_sk!$B$5:$Y$123,24,FALSE)</f>
        <v>23531</v>
      </c>
      <c r="J113" s="133">
        <f>VLOOKUP($A113,IKP!$Q$6:$AC$124,11,FALSE)</f>
        <v>358239.73113233491</v>
      </c>
      <c r="K113" s="133">
        <f>VLOOKUP($A113,IKP!$Q$6:$AC$124,12,FALSE)</f>
        <v>371465.58958303119</v>
      </c>
      <c r="L113" s="133">
        <f>VLOOKUP($A113,IKP!$Q$6:$AC$124,13,FALSE)</f>
        <v>380326.96653107938</v>
      </c>
      <c r="M113" s="172">
        <f>VLOOKUP($A113,IKP!$Q$6:$AD$124,14,FALSE)</f>
        <v>414489.50881227653</v>
      </c>
      <c r="N113" s="132">
        <f>((-0.0000000006)*IKP!$J$5 + 0.0461)*J113</f>
        <v>9835.4596362961984</v>
      </c>
      <c r="O113" s="132">
        <f>((-0.0000000006)*IKP!$K$5 + 0.0461)*K113</f>
        <v>9845.3497142921369</v>
      </c>
      <c r="P113" s="132">
        <f>((-0.0000000006)*IKP!$L$5 + 0.0461)*L113</f>
        <v>9797.0035486810448</v>
      </c>
      <c r="Q113" s="172">
        <f>((-0.0000000006)*IKP!$M$5 + 0.0461)*M113</f>
        <v>8906.5103226175925</v>
      </c>
      <c r="R113" s="132">
        <f t="shared" si="12"/>
        <v>2360.5103127110879</v>
      </c>
      <c r="S113" s="132">
        <f t="shared" si="13"/>
        <v>2362.8839314301131</v>
      </c>
      <c r="T113" s="132">
        <f t="shared" si="14"/>
        <v>2351.2808516834507</v>
      </c>
      <c r="U113" s="172">
        <f t="shared" si="11"/>
        <v>2137.5624774282223</v>
      </c>
      <c r="V113" s="175"/>
      <c r="W113" s="175"/>
    </row>
    <row r="114" spans="1:23" hidden="1" outlineLevel="1" x14ac:dyDescent="0.3">
      <c r="A114" s="98" t="s">
        <v>109</v>
      </c>
      <c r="B114" s="176" t="s">
        <v>441</v>
      </c>
      <c r="C114" s="176" t="s">
        <v>441</v>
      </c>
      <c r="D114" s="176" t="s">
        <v>176</v>
      </c>
      <c r="E114" s="180">
        <v>307</v>
      </c>
      <c r="F114" s="132">
        <f>VLOOKUP(A114,Iedz_sk!$B$5:$Y$123,15,FALSE)</f>
        <v>2216</v>
      </c>
      <c r="G114" s="132">
        <f>VLOOKUP(A114,Iedz_sk!$B$5:$Y$123,16,FALSE)</f>
        <v>2181</v>
      </c>
      <c r="H114" s="132">
        <f>VLOOKUP(A114,Iedz_sk!$B$5:$Y$123,17,FALSE)</f>
        <v>2145</v>
      </c>
      <c r="I114" s="172">
        <f>VLOOKUP(A114,Iedz_sk!$B$5:$Y$123,24,FALSE)</f>
        <v>1897</v>
      </c>
      <c r="J114" s="133">
        <f>VLOOKUP($A114,IKP!$Q$6:$AC$124,11,FALSE)</f>
        <v>21231.862598332642</v>
      </c>
      <c r="K114" s="133">
        <f>VLOOKUP($A114,IKP!$Q$6:$AC$124,12,FALSE)</f>
        <v>22361.032717546739</v>
      </c>
      <c r="L114" s="133">
        <f>VLOOKUP($A114,IKP!$Q$6:$AC$124,13,FALSE)</f>
        <v>23249.619455465079</v>
      </c>
      <c r="M114" s="172">
        <f>VLOOKUP($A114,IKP!$Q$6:$AD$124,14,FALSE)</f>
        <v>28581.724253055509</v>
      </c>
      <c r="N114" s="132">
        <f>((-0.0000000006)*IKP!$J$5 + 0.0461)*J114</f>
        <v>582.9200656477351</v>
      </c>
      <c r="O114" s="132">
        <f>((-0.0000000006)*IKP!$K$5 + 0.0461)*K114</f>
        <v>592.65835988764388</v>
      </c>
      <c r="P114" s="132">
        <f>((-0.0000000006)*IKP!$L$5 + 0.0461)*L114</f>
        <v>598.89680289620458</v>
      </c>
      <c r="Q114" s="172">
        <f>((-0.0000000006)*IKP!$M$5 + 0.0461)*M114</f>
        <v>614.16131575320765</v>
      </c>
      <c r="R114" s="132">
        <f t="shared" si="12"/>
        <v>139.90081575545642</v>
      </c>
      <c r="S114" s="132">
        <f t="shared" si="13"/>
        <v>142.23800637303455</v>
      </c>
      <c r="T114" s="132">
        <f t="shared" si="14"/>
        <v>143.73523269508908</v>
      </c>
      <c r="U114" s="172">
        <f t="shared" si="11"/>
        <v>147.39871578076983</v>
      </c>
      <c r="V114" s="175"/>
      <c r="W114" s="175"/>
    </row>
    <row r="115" spans="1:23" hidden="1" outlineLevel="1" x14ac:dyDescent="0.3">
      <c r="A115" s="98" t="s">
        <v>110</v>
      </c>
      <c r="B115" s="176" t="s">
        <v>110</v>
      </c>
      <c r="C115" s="176" t="s">
        <v>110</v>
      </c>
      <c r="D115" s="176" t="s">
        <v>439</v>
      </c>
      <c r="E115" s="180">
        <v>908</v>
      </c>
      <c r="F115" s="132">
        <f>VLOOKUP(A115,Iedz_sk!$B$5:$Y$123,15,FALSE)</f>
        <v>7596</v>
      </c>
      <c r="G115" s="132">
        <f>VLOOKUP(A115,Iedz_sk!$B$5:$Y$123,16,FALSE)</f>
        <v>7345</v>
      </c>
      <c r="H115" s="132">
        <f>VLOOKUP(A115,Iedz_sk!$B$5:$Y$123,17,FALSE)</f>
        <v>7094</v>
      </c>
      <c r="I115" s="172">
        <f>VLOOKUP(A115,Iedz_sk!$B$5:$Y$123,24,FALSE)</f>
        <v>5339</v>
      </c>
      <c r="J115" s="133">
        <f>VLOOKUP($A115,IKP!$Q$6:$AC$124,11,FALSE)</f>
        <v>71731.214948660447</v>
      </c>
      <c r="K115" s="133">
        <f>VLOOKUP($A115,IKP!$Q$6:$AC$124,12,FALSE)</f>
        <v>74626.944944209652</v>
      </c>
      <c r="L115" s="133">
        <f>VLOOKUP($A115,IKP!$Q$6:$AC$124,13,FALSE)</f>
        <v>76631.777624629933</v>
      </c>
      <c r="M115" s="172">
        <f>VLOOKUP($A115,IKP!$Q$6:$AD$124,14,FALSE)</f>
        <v>84071.434821795643</v>
      </c>
      <c r="N115" s="132">
        <f>((-0.0000000006)*IKP!$J$5 + 0.0461)*J115</f>
        <v>1969.3780671955085</v>
      </c>
      <c r="O115" s="132">
        <f>((-0.0000000006)*IKP!$K$5 + 0.0461)*K115</f>
        <v>1977.9177175191371</v>
      </c>
      <c r="P115" s="132">
        <f>((-0.0000000006)*IKP!$L$5 + 0.0461)*L115</f>
        <v>1973.990443480388</v>
      </c>
      <c r="Q115" s="172">
        <f>((-0.0000000006)*IKP!$M$5 + 0.0461)*M115</f>
        <v>1806.5188289644288</v>
      </c>
      <c r="R115" s="132">
        <f t="shared" si="12"/>
        <v>472.65073612692203</v>
      </c>
      <c r="S115" s="132">
        <f t="shared" si="13"/>
        <v>474.70025220459291</v>
      </c>
      <c r="T115" s="132">
        <f t="shared" si="14"/>
        <v>473.75770643529313</v>
      </c>
      <c r="U115" s="172">
        <f t="shared" si="11"/>
        <v>433.5645189514629</v>
      </c>
      <c r="V115" s="175"/>
      <c r="W115" s="175"/>
    </row>
    <row r="116" spans="1:23" hidden="1" outlineLevel="1" x14ac:dyDescent="0.3">
      <c r="A116" s="98" t="s">
        <v>111</v>
      </c>
      <c r="B116" s="176" t="s">
        <v>111</v>
      </c>
      <c r="C116" s="176" t="s">
        <v>111</v>
      </c>
      <c r="D116" s="176" t="s">
        <v>437</v>
      </c>
      <c r="E116" s="180">
        <v>278</v>
      </c>
      <c r="F116" s="132">
        <f>VLOOKUP(A116,Iedz_sk!$B$5:$Y$123,15,FALSE)</f>
        <v>2945</v>
      </c>
      <c r="G116" s="132">
        <f>VLOOKUP(A116,Iedz_sk!$B$5:$Y$123,16,FALSE)</f>
        <v>2880</v>
      </c>
      <c r="H116" s="132">
        <f>VLOOKUP(A116,Iedz_sk!$B$5:$Y$123,17,FALSE)</f>
        <v>2815</v>
      </c>
      <c r="I116" s="172">
        <f>VLOOKUP(A116,Iedz_sk!$B$5:$Y$123,24,FALSE)</f>
        <v>2362</v>
      </c>
      <c r="J116" s="133">
        <f>VLOOKUP($A116,IKP!$Q$6:$AC$124,11,FALSE)</f>
        <v>27810.482888863218</v>
      </c>
      <c r="K116" s="133">
        <f>VLOOKUP($A116,IKP!$Q$6:$AC$124,12,FALSE)</f>
        <v>29261.48419868261</v>
      </c>
      <c r="L116" s="133">
        <f>VLOOKUP($A116,IKP!$Q$6:$AC$124,13,FALSE)</f>
        <v>30408.578237007794</v>
      </c>
      <c r="M116" s="172">
        <f>VLOOKUP($A116,IKP!$Q$6:$AD$124,14,FALSE)</f>
        <v>37193.618477070857</v>
      </c>
      <c r="N116" s="132">
        <f>((-0.0000000006)*IKP!$J$5 + 0.0461)*J116</f>
        <v>763.53586201826909</v>
      </c>
      <c r="O116" s="132">
        <f>((-0.0000000006)*IKP!$K$5 + 0.0461)*K116</f>
        <v>775.54840387407955</v>
      </c>
      <c r="P116" s="132">
        <f>((-0.0000000006)*IKP!$L$5 + 0.0461)*L116</f>
        <v>783.30745677999619</v>
      </c>
      <c r="Q116" s="172">
        <f>((-0.0000000006)*IKP!$M$5 + 0.0461)*M116</f>
        <v>799.21286271099098</v>
      </c>
      <c r="R116" s="132">
        <f t="shared" si="12"/>
        <v>183.2486068843846</v>
      </c>
      <c r="S116" s="132">
        <f t="shared" si="13"/>
        <v>186.13161692977911</v>
      </c>
      <c r="T116" s="132">
        <f t="shared" si="14"/>
        <v>187.99378962719911</v>
      </c>
      <c r="U116" s="172">
        <f t="shared" si="11"/>
        <v>191.81108705063784</v>
      </c>
      <c r="V116" s="175"/>
      <c r="W116" s="175"/>
    </row>
    <row r="117" spans="1:23" hidden="1" outlineLevel="1" x14ac:dyDescent="0.3">
      <c r="A117" s="98" t="s">
        <v>112</v>
      </c>
      <c r="B117" s="176" t="s">
        <v>82</v>
      </c>
      <c r="C117" s="176" t="s">
        <v>82</v>
      </c>
      <c r="D117" s="176" t="s">
        <v>437</v>
      </c>
      <c r="E117" s="180">
        <v>288</v>
      </c>
      <c r="F117" s="132">
        <f>VLOOKUP(A117,Iedz_sk!$B$5:$Y$123,15,FALSE)</f>
        <v>1754</v>
      </c>
      <c r="G117" s="132">
        <f>VLOOKUP(A117,Iedz_sk!$B$5:$Y$123,16,FALSE)</f>
        <v>1724</v>
      </c>
      <c r="H117" s="132">
        <f>VLOOKUP(A117,Iedz_sk!$B$5:$Y$123,17,FALSE)</f>
        <v>1695</v>
      </c>
      <c r="I117" s="172">
        <f>VLOOKUP(A117,Iedz_sk!$B$5:$Y$123,24,FALSE)</f>
        <v>1488</v>
      </c>
      <c r="J117" s="133">
        <f>VLOOKUP($A117,IKP!$Q$6:$AC$124,11,FALSE)</f>
        <v>11534.130738121357</v>
      </c>
      <c r="K117" s="133">
        <f>VLOOKUP($A117,IKP!$Q$6:$AC$124,12,FALSE)</f>
        <v>12194.845557130067</v>
      </c>
      <c r="L117" s="133">
        <f>VLOOKUP($A117,IKP!$Q$6:$AC$124,13,FALSE)</f>
        <v>12744.61508861933</v>
      </c>
      <c r="M117" s="172">
        <f>VLOOKUP($A117,IKP!$Q$6:$AD$124,14,FALSE)</f>
        <v>16278.388340789068</v>
      </c>
      <c r="N117" s="132">
        <f>((-0.0000000006)*IKP!$J$5 + 0.0461)*J117</f>
        <v>316.66916719700617</v>
      </c>
      <c r="O117" s="132">
        <f>((-0.0000000006)*IKP!$K$5 + 0.0461)*K117</f>
        <v>323.21303127026385</v>
      </c>
      <c r="P117" s="132">
        <f>((-0.0000000006)*IKP!$L$5 + 0.0461)*L117</f>
        <v>328.2939424164507</v>
      </c>
      <c r="Q117" s="172">
        <f>((-0.0000000006)*IKP!$M$5 + 0.0461)*M117</f>
        <v>349.78842819995043</v>
      </c>
      <c r="R117" s="132">
        <f t="shared" si="12"/>
        <v>76.000600127281487</v>
      </c>
      <c r="S117" s="132">
        <f t="shared" si="13"/>
        <v>77.571127504863327</v>
      </c>
      <c r="T117" s="132">
        <f t="shared" si="14"/>
        <v>78.790546179948166</v>
      </c>
      <c r="U117" s="172">
        <f t="shared" si="11"/>
        <v>83.949222767988104</v>
      </c>
      <c r="V117" s="175"/>
      <c r="W117" s="175"/>
    </row>
    <row r="118" spans="1:23" hidden="1" outlineLevel="1" x14ac:dyDescent="0.3">
      <c r="A118" s="98" t="s">
        <v>113</v>
      </c>
      <c r="B118" s="176" t="s">
        <v>31</v>
      </c>
      <c r="C118" s="176" t="s">
        <v>31</v>
      </c>
      <c r="D118" s="176" t="s">
        <v>439</v>
      </c>
      <c r="E118" s="180">
        <v>542</v>
      </c>
      <c r="F118" s="132">
        <f>VLOOKUP(A118,Iedz_sk!$B$5:$Y$123,15,FALSE)</f>
        <v>3614</v>
      </c>
      <c r="G118" s="132">
        <f>VLOOKUP(A118,Iedz_sk!$B$5:$Y$123,16,FALSE)</f>
        <v>3506</v>
      </c>
      <c r="H118" s="132">
        <f>VLOOKUP(A118,Iedz_sk!$B$5:$Y$123,17,FALSE)</f>
        <v>3398</v>
      </c>
      <c r="I118" s="172">
        <f>VLOOKUP(A118,Iedz_sk!$B$5:$Y$123,24,FALSE)</f>
        <v>2642</v>
      </c>
      <c r="J118" s="133">
        <f>VLOOKUP($A118,IKP!$Q$6:$AC$124,11,FALSE)</f>
        <v>34128.042499270516</v>
      </c>
      <c r="K118" s="133">
        <f>VLOOKUP($A118,IKP!$Q$6:$AC$124,12,FALSE)</f>
        <v>35621.792916868486</v>
      </c>
      <c r="L118" s="133">
        <f>VLOOKUP($A118,IKP!$Q$6:$AC$124,13,FALSE)</f>
        <v>36706.340621439602</v>
      </c>
      <c r="M118" s="172">
        <f>VLOOKUP($A118,IKP!$Q$6:$AD$124,14,FALSE)</f>
        <v>41602.684172913294</v>
      </c>
      <c r="N118" s="132">
        <f>((-0.0000000006)*IKP!$J$5 + 0.0461)*J118</f>
        <v>936.98424629338695</v>
      </c>
      <c r="O118" s="132">
        <f>((-0.0000000006)*IKP!$K$5 + 0.0461)*K118</f>
        <v>944.12246666059821</v>
      </c>
      <c r="P118" s="132">
        <f>((-0.0000000006)*IKP!$L$5 + 0.0461)*L118</f>
        <v>945.53418761578223</v>
      </c>
      <c r="Q118" s="172">
        <f>((-0.0000000006)*IKP!$M$5 + 0.0461)*M118</f>
        <v>893.9544383075521</v>
      </c>
      <c r="R118" s="132">
        <f t="shared" si="12"/>
        <v>224.87621911041288</v>
      </c>
      <c r="S118" s="132">
        <f t="shared" si="13"/>
        <v>226.58939199854359</v>
      </c>
      <c r="T118" s="132">
        <f t="shared" si="14"/>
        <v>226.92820502778775</v>
      </c>
      <c r="U118" s="172">
        <f t="shared" si="11"/>
        <v>214.54906519381251</v>
      </c>
      <c r="V118" s="175"/>
      <c r="W118" s="175"/>
    </row>
    <row r="119" spans="1:23" hidden="1" outlineLevel="1" x14ac:dyDescent="0.3">
      <c r="A119" s="98" t="s">
        <v>114</v>
      </c>
      <c r="B119" s="176" t="s">
        <v>25</v>
      </c>
      <c r="C119" s="176" t="s">
        <v>25</v>
      </c>
      <c r="D119" s="176" t="s">
        <v>438</v>
      </c>
      <c r="E119" s="180">
        <v>844</v>
      </c>
      <c r="F119" s="132">
        <f>VLOOKUP(A119,Iedz_sk!$B$5:$Y$123,15,FALSE)</f>
        <v>7795</v>
      </c>
      <c r="G119" s="132">
        <f>VLOOKUP(A119,Iedz_sk!$B$5:$Y$123,16,FALSE)</f>
        <v>7650</v>
      </c>
      <c r="H119" s="132">
        <f>VLOOKUP(A119,Iedz_sk!$B$5:$Y$123,17,FALSE)</f>
        <v>7505</v>
      </c>
      <c r="I119" s="172">
        <f>VLOOKUP(A119,Iedz_sk!$B$5:$Y$123,24,FALSE)</f>
        <v>6488</v>
      </c>
      <c r="J119" s="133">
        <f>VLOOKUP($A119,IKP!$Q$6:$AC$124,11,FALSE)</f>
        <v>66524.099230699212</v>
      </c>
      <c r="K119" s="133">
        <f>VLOOKUP($A119,IKP!$Q$6:$AC$124,12,FALSE)</f>
        <v>69750.859694653991</v>
      </c>
      <c r="L119" s="133">
        <f>VLOOKUP($A119,IKP!$Q$6:$AC$124,13,FALSE)</f>
        <v>72223.819712559081</v>
      </c>
      <c r="M119" s="172">
        <f>VLOOKUP($A119,IKP!$Q$6:$AD$124,14,FALSE)</f>
        <v>85633.650954771714</v>
      </c>
      <c r="N119" s="132">
        <f>((-0.0000000006)*IKP!$J$5 + 0.0461)*J119</f>
        <v>1826.4168822268527</v>
      </c>
      <c r="O119" s="132">
        <f>((-0.0000000006)*IKP!$K$5 + 0.0461)*K119</f>
        <v>1848.6816163436167</v>
      </c>
      <c r="P119" s="132">
        <f>((-0.0000000006)*IKP!$L$5 + 0.0461)*L119</f>
        <v>1860.4439871223799</v>
      </c>
      <c r="Q119" s="172">
        <f>((-0.0000000006)*IKP!$M$5 + 0.0461)*M119</f>
        <v>1840.0875775544268</v>
      </c>
      <c r="R119" s="132">
        <f t="shared" si="12"/>
        <v>438.34005173444467</v>
      </c>
      <c r="S119" s="132">
        <f t="shared" si="13"/>
        <v>443.68358792246801</v>
      </c>
      <c r="T119" s="132">
        <f t="shared" si="14"/>
        <v>446.50655690937123</v>
      </c>
      <c r="U119" s="172">
        <f t="shared" si="11"/>
        <v>441.62101861306246</v>
      </c>
      <c r="V119" s="175"/>
      <c r="W119" s="175"/>
    </row>
    <row r="120" spans="1:23" hidden="1" outlineLevel="1" x14ac:dyDescent="0.3">
      <c r="A120" s="98" t="s">
        <v>115</v>
      </c>
      <c r="B120" s="176" t="s">
        <v>115</v>
      </c>
      <c r="C120" s="176" t="s">
        <v>115</v>
      </c>
      <c r="D120" s="176" t="s">
        <v>440</v>
      </c>
      <c r="E120" s="180">
        <v>2458</v>
      </c>
      <c r="F120" s="132">
        <f>VLOOKUP(A120,Iedz_sk!$B$5:$Y$123,15,FALSE)</f>
        <v>10777</v>
      </c>
      <c r="G120" s="132">
        <f>VLOOKUP(A120,Iedz_sk!$B$5:$Y$123,16,FALSE)</f>
        <v>10610</v>
      </c>
      <c r="H120" s="132">
        <f>VLOOKUP(A120,Iedz_sk!$B$5:$Y$123,17,FALSE)</f>
        <v>10443</v>
      </c>
      <c r="I120" s="172">
        <f>VLOOKUP(A120,Iedz_sk!$B$5:$Y$123,24,FALSE)</f>
        <v>9272</v>
      </c>
      <c r="J120" s="133">
        <f>VLOOKUP($A120,IKP!$Q$6:$AC$124,11,FALSE)</f>
        <v>103256.21986562765</v>
      </c>
      <c r="K120" s="133">
        <f>VLOOKUP($A120,IKP!$Q$6:$AC$124,12,FALSE)</f>
        <v>108780.63142282021</v>
      </c>
      <c r="L120" s="133">
        <f>VLOOKUP($A120,IKP!$Q$6:$AC$124,13,FALSE)</f>
        <v>113191.50395031321</v>
      </c>
      <c r="M120" s="172">
        <f>VLOOKUP($A120,IKP!$Q$6:$AD$124,14,FALSE)</f>
        <v>139699.39234282059</v>
      </c>
      <c r="N120" s="132">
        <f>((-0.0000000006)*IKP!$J$5 + 0.0461)*J120</f>
        <v>2834.8960051830509</v>
      </c>
      <c r="O120" s="132">
        <f>((-0.0000000006)*IKP!$K$5 + 0.0461)*K120</f>
        <v>2883.1293894580017</v>
      </c>
      <c r="P120" s="132">
        <f>((-0.0000000006)*IKP!$L$5 + 0.0461)*L120</f>
        <v>2915.7479313030603</v>
      </c>
      <c r="Q120" s="172">
        <f>((-0.0000000006)*IKP!$M$5 + 0.0461)*M120</f>
        <v>3001.8469792639644</v>
      </c>
      <c r="R120" s="132">
        <f t="shared" si="12"/>
        <v>680.37504124393229</v>
      </c>
      <c r="S120" s="132">
        <f t="shared" si="13"/>
        <v>691.95105346992034</v>
      </c>
      <c r="T120" s="132">
        <f t="shared" si="14"/>
        <v>699.77950351273444</v>
      </c>
      <c r="U120" s="172">
        <f t="shared" si="11"/>
        <v>720.44327502335148</v>
      </c>
      <c r="V120" s="175"/>
      <c r="W120" s="175"/>
    </row>
    <row r="121" spans="1:23" hidden="1" outlineLevel="1" x14ac:dyDescent="0.3">
      <c r="A121" s="98" t="s">
        <v>116</v>
      </c>
      <c r="B121" s="176" t="s">
        <v>51</v>
      </c>
      <c r="C121" s="176" t="s">
        <v>51</v>
      </c>
      <c r="D121" s="176" t="s">
        <v>437</v>
      </c>
      <c r="E121" s="180">
        <v>651</v>
      </c>
      <c r="F121" s="132">
        <f>VLOOKUP(A121,Iedz_sk!$B$5:$Y$123,15,FALSE)</f>
        <v>3535</v>
      </c>
      <c r="G121" s="132">
        <f>VLOOKUP(A121,Iedz_sk!$B$5:$Y$123,16,FALSE)</f>
        <v>3451</v>
      </c>
      <c r="H121" s="132">
        <f>VLOOKUP(A121,Iedz_sk!$B$5:$Y$123,17,FALSE)</f>
        <v>3367</v>
      </c>
      <c r="I121" s="172">
        <f>VLOOKUP(A121,Iedz_sk!$B$5:$Y$123,24,FALSE)</f>
        <v>2780</v>
      </c>
      <c r="J121" s="133">
        <f>VLOOKUP($A121,IKP!$Q$6:$AC$124,11,FALSE)</f>
        <v>30168.401639579439</v>
      </c>
      <c r="K121" s="133">
        <f>VLOOKUP($A121,IKP!$Q$6:$AC$124,12,FALSE)</f>
        <v>31465.387817810581</v>
      </c>
      <c r="L121" s="133">
        <f>VLOOKUP($A121,IKP!$Q$6:$AC$124,13,FALSE)</f>
        <v>32402.078743795661</v>
      </c>
      <c r="M121" s="172">
        <f>VLOOKUP($A121,IKP!$Q$6:$AD$124,14,FALSE)</f>
        <v>36692.593966440407</v>
      </c>
      <c r="N121" s="132">
        <f>((-0.0000000006)*IKP!$J$5 + 0.0461)*J121</f>
        <v>828.27244113815584</v>
      </c>
      <c r="O121" s="132">
        <f>((-0.0000000006)*IKP!$K$5 + 0.0461)*K121</f>
        <v>833.96081803945378</v>
      </c>
      <c r="P121" s="132">
        <f>((-0.0000000006)*IKP!$L$5 + 0.0461)*L121</f>
        <v>834.65888136456408</v>
      </c>
      <c r="Q121" s="172">
        <f>((-0.0000000006)*IKP!$M$5 + 0.0461)*M121</f>
        <v>788.44689667097816</v>
      </c>
      <c r="R121" s="132">
        <f t="shared" si="12"/>
        <v>198.78538587315742</v>
      </c>
      <c r="S121" s="132">
        <f t="shared" si="13"/>
        <v>200.1505963294689</v>
      </c>
      <c r="T121" s="132">
        <f t="shared" si="14"/>
        <v>200.31813152749538</v>
      </c>
      <c r="U121" s="172">
        <f t="shared" si="11"/>
        <v>189.22725520103478</v>
      </c>
      <c r="V121" s="175"/>
      <c r="W121" s="175"/>
    </row>
    <row r="122" spans="1:23" hidden="1" outlineLevel="1" x14ac:dyDescent="0.3">
      <c r="A122" s="98" t="s">
        <v>117</v>
      </c>
      <c r="B122" s="176" t="s">
        <v>24</v>
      </c>
      <c r="C122" s="176" t="s">
        <v>24</v>
      </c>
      <c r="D122" s="176" t="s">
        <v>439</v>
      </c>
      <c r="E122" s="180">
        <v>641</v>
      </c>
      <c r="F122" s="132">
        <f>VLOOKUP(A122,Iedz_sk!$B$5:$Y$123,15,FALSE)</f>
        <v>4476</v>
      </c>
      <c r="G122" s="132">
        <f>VLOOKUP(A122,Iedz_sk!$B$5:$Y$123,16,FALSE)</f>
        <v>4352</v>
      </c>
      <c r="H122" s="132">
        <f>VLOOKUP(A122,Iedz_sk!$B$5:$Y$123,17,FALSE)</f>
        <v>4228</v>
      </c>
      <c r="I122" s="172">
        <f>VLOOKUP(A122,Iedz_sk!$B$5:$Y$123,24,FALSE)</f>
        <v>3359</v>
      </c>
      <c r="J122" s="133">
        <f>VLOOKUP($A122,IKP!$Q$6:$AC$124,11,FALSE)</f>
        <v>29433.733856232153</v>
      </c>
      <c r="K122" s="133">
        <f>VLOOKUP($A122,IKP!$Q$6:$AC$124,12,FALSE)</f>
        <v>30784.204097813257</v>
      </c>
      <c r="L122" s="133">
        <f>VLOOKUP($A122,IKP!$Q$6:$AC$124,13,FALSE)</f>
        <v>31790.107725476417</v>
      </c>
      <c r="M122" s="172">
        <f>VLOOKUP($A122,IKP!$Q$6:$AD$124,14,FALSE)</f>
        <v>36746.711314993598</v>
      </c>
      <c r="N122" s="132">
        <f>((-0.0000000006)*IKP!$J$5 + 0.0461)*J122</f>
        <v>808.10216212873411</v>
      </c>
      <c r="O122" s="132">
        <f>((-0.0000000006)*IKP!$K$5 + 0.0461)*K122</f>
        <v>815.90667754535286</v>
      </c>
      <c r="P122" s="132">
        <f>((-0.0000000006)*IKP!$L$5 + 0.0461)*L122</f>
        <v>818.89486049365996</v>
      </c>
      <c r="Q122" s="172">
        <f>((-0.0000000006)*IKP!$M$5 + 0.0461)*M122</f>
        <v>789.6097650024418</v>
      </c>
      <c r="R122" s="132">
        <f t="shared" si="12"/>
        <v>193.94451891089619</v>
      </c>
      <c r="S122" s="132">
        <f t="shared" si="13"/>
        <v>195.81760261088468</v>
      </c>
      <c r="T122" s="132">
        <f t="shared" si="14"/>
        <v>196.53476651847839</v>
      </c>
      <c r="U122" s="172">
        <f t="shared" si="11"/>
        <v>189.50634360058604</v>
      </c>
      <c r="V122" s="175"/>
      <c r="W122" s="175"/>
    </row>
    <row r="123" spans="1:23" hidden="1" outlineLevel="1" x14ac:dyDescent="0.3">
      <c r="A123" s="98" t="s">
        <v>118</v>
      </c>
      <c r="B123" s="176" t="s">
        <v>86</v>
      </c>
      <c r="C123" s="176" t="s">
        <v>86</v>
      </c>
      <c r="D123" s="176" t="s">
        <v>437</v>
      </c>
      <c r="E123" s="180">
        <v>287</v>
      </c>
      <c r="F123" s="132">
        <f>VLOOKUP(A123,Iedz_sk!$B$5:$Y$123,15,FALSE)</f>
        <v>5399</v>
      </c>
      <c r="G123" s="132">
        <f>VLOOKUP(A123,Iedz_sk!$B$5:$Y$123,16,FALSE)</f>
        <v>5293</v>
      </c>
      <c r="H123" s="132">
        <f>VLOOKUP(A123,Iedz_sk!$B$5:$Y$123,17,FALSE)</f>
        <v>5186</v>
      </c>
      <c r="I123" s="172">
        <f>VLOOKUP(A123,Iedz_sk!$B$5:$Y$123,24,FALSE)</f>
        <v>4441</v>
      </c>
      <c r="J123" s="133">
        <f>VLOOKUP($A123,IKP!$Q$6:$AC$124,11,FALSE)</f>
        <v>35503.290681366714</v>
      </c>
      <c r="K123" s="133">
        <f>VLOOKUP($A123,IKP!$Q$6:$AC$124,12,FALSE)</f>
        <v>37440.439404808261</v>
      </c>
      <c r="L123" s="133">
        <f>VLOOKUP($A123,IKP!$Q$6:$AC$124,13,FALSE)</f>
        <v>38993.258908306692</v>
      </c>
      <c r="M123" s="172">
        <f>VLOOKUP($A123,IKP!$Q$6:$AD$124,14,FALSE)</f>
        <v>48583.550148820061</v>
      </c>
      <c r="N123" s="132">
        <f>((-0.0000000006)*IKP!$J$5 + 0.0461)*J123</f>
        <v>974.74163836752371</v>
      </c>
      <c r="O123" s="132">
        <f>((-0.0000000006)*IKP!$K$5 + 0.0461)*K123</f>
        <v>992.32399913776476</v>
      </c>
      <c r="P123" s="132">
        <f>((-0.0000000006)*IKP!$L$5 + 0.0461)*L123</f>
        <v>1004.4438851750522</v>
      </c>
      <c r="Q123" s="172">
        <f>((-0.0000000006)*IKP!$M$5 + 0.0461)*M123</f>
        <v>1043.9586086263305</v>
      </c>
      <c r="R123" s="132">
        <f t="shared" si="12"/>
        <v>233.93799320820571</v>
      </c>
      <c r="S123" s="132">
        <f t="shared" si="13"/>
        <v>238.15775979306352</v>
      </c>
      <c r="T123" s="132">
        <f t="shared" si="14"/>
        <v>241.06653244201252</v>
      </c>
      <c r="U123" s="172">
        <f t="shared" si="11"/>
        <v>250.55006607031933</v>
      </c>
      <c r="V123" s="175"/>
      <c r="W123" s="175"/>
    </row>
    <row r="124" spans="1:23" hidden="1" outlineLevel="1" x14ac:dyDescent="0.3">
      <c r="A124" s="98" t="s">
        <v>119</v>
      </c>
      <c r="B124" s="176" t="s">
        <v>67</v>
      </c>
      <c r="C124" s="176" t="s">
        <v>67</v>
      </c>
      <c r="D124" s="176" t="s">
        <v>437</v>
      </c>
      <c r="E124" s="180">
        <v>309</v>
      </c>
      <c r="F124" s="132">
        <f>VLOOKUP(A124,Iedz_sk!$B$5:$Y$123,15,FALSE)</f>
        <v>2549</v>
      </c>
      <c r="G124" s="132">
        <f>VLOOKUP(A124,Iedz_sk!$B$5:$Y$123,16,FALSE)</f>
        <v>2479</v>
      </c>
      <c r="H124" s="132">
        <f>VLOOKUP(A124,Iedz_sk!$B$5:$Y$123,17,FALSE)</f>
        <v>2410</v>
      </c>
      <c r="I124" s="172">
        <f>VLOOKUP(A124,Iedz_sk!$B$5:$Y$123,24,FALSE)</f>
        <v>1922</v>
      </c>
      <c r="J124" s="133">
        <f>VLOOKUP($A124,IKP!$Q$6:$AC$124,11,FALSE)</f>
        <v>16761.972207224255</v>
      </c>
      <c r="K124" s="133">
        <f>VLOOKUP($A124,IKP!$Q$6:$AC$124,12,FALSE)</f>
        <v>17535.395670606402</v>
      </c>
      <c r="L124" s="133">
        <f>VLOOKUP($A124,IKP!$Q$6:$AC$124,13,FALSE)</f>
        <v>18120.662161399756</v>
      </c>
      <c r="M124" s="172">
        <f>VLOOKUP($A124,IKP!$Q$6:$AD$124,14,FALSE)</f>
        <v>21026.251606852547</v>
      </c>
      <c r="N124" s="132">
        <f>((-0.0000000006)*IKP!$J$5 + 0.0461)*J124</f>
        <v>460.19937695847705</v>
      </c>
      <c r="O124" s="132">
        <f>((-0.0000000006)*IKP!$K$5 + 0.0461)*K124</f>
        <v>464.75934136832024</v>
      </c>
      <c r="P124" s="132">
        <f>((-0.0000000006)*IKP!$L$5 + 0.0461)*L124</f>
        <v>466.77781783105974</v>
      </c>
      <c r="Q124" s="172">
        <f>((-0.0000000006)*IKP!$M$5 + 0.0461)*M124</f>
        <v>451.81005309160264</v>
      </c>
      <c r="R124" s="132">
        <f t="shared" si="12"/>
        <v>110.4478504700345</v>
      </c>
      <c r="S124" s="132">
        <f t="shared" si="13"/>
        <v>111.54224192839685</v>
      </c>
      <c r="T124" s="132">
        <f t="shared" si="14"/>
        <v>112.02667627945435</v>
      </c>
      <c r="U124" s="172">
        <f t="shared" si="11"/>
        <v>108.43441274198464</v>
      </c>
      <c r="V124" s="175"/>
      <c r="W124" s="175"/>
    </row>
    <row r="125" spans="1:23" hidden="1" outlineLevel="1" x14ac:dyDescent="0.3">
      <c r="F125" s="108"/>
      <c r="G125" s="108"/>
      <c r="H125" s="108"/>
      <c r="I125" s="108"/>
      <c r="J125" s="117"/>
      <c r="K125" s="117"/>
      <c r="L125" s="117"/>
      <c r="M125" s="117"/>
      <c r="N125" s="114"/>
      <c r="O125" s="114"/>
      <c r="P125" s="114"/>
      <c r="Q125" s="172"/>
    </row>
    <row r="126" spans="1:23" hidden="1" outlineLevel="1" x14ac:dyDescent="0.3">
      <c r="A126" s="98" t="s">
        <v>135</v>
      </c>
      <c r="B126" s="98"/>
      <c r="C126" s="98"/>
      <c r="D126" s="98"/>
      <c r="E126" s="179"/>
      <c r="F126" s="132">
        <f>IKP!J70</f>
        <v>183869</v>
      </c>
      <c r="G126" s="132">
        <f>IKP!K70</f>
        <v>184214</v>
      </c>
      <c r="H126" s="132">
        <f>IKP!L70</f>
        <v>184559</v>
      </c>
      <c r="I126" s="172">
        <f>IKP!M70</f>
        <v>186975</v>
      </c>
      <c r="J126" s="133">
        <f>IKP!J75</f>
        <v>5228143.5548050608</v>
      </c>
      <c r="K126" s="133">
        <f>IKP!K75</f>
        <v>5494772.0032940069</v>
      </c>
      <c r="L126" s="133">
        <f>IKP!L75</f>
        <v>5703575.4772889027</v>
      </c>
      <c r="M126" s="172">
        <f>IKP!M75</f>
        <v>6901336.9099097596</v>
      </c>
      <c r="N126" s="132">
        <f>((-0.0000000006)*IKP!$J$5 + 0.0461)*J126</f>
        <v>143538.50351415138</v>
      </c>
      <c r="O126" s="132">
        <f>((-0.0000000006)*IKP!$K$5 + 0.0461)*K126</f>
        <v>145633.81774730695</v>
      </c>
      <c r="P126" s="132">
        <f>((-0.0000000006)*IKP!$L$5 + 0.0461)*L126</f>
        <v>146920.81842322729</v>
      </c>
      <c r="Q126" s="172">
        <f>((-0.0000000006)*IKP!$M$5 + 0.0461)*M126</f>
        <v>148295.25747010301</v>
      </c>
      <c r="R126" s="132">
        <f t="shared" ref="R126:U129" si="15">N126*$X$6*$X$5</f>
        <v>34449.240843396328</v>
      </c>
      <c r="S126" s="132">
        <f t="shared" si="15"/>
        <v>34952.116259353672</v>
      </c>
      <c r="T126" s="132">
        <f t="shared" si="15"/>
        <v>35260.996421574549</v>
      </c>
      <c r="U126" s="172">
        <f t="shared" si="15"/>
        <v>35590.861792824726</v>
      </c>
      <c r="V126" s="175"/>
      <c r="W126" s="175"/>
    </row>
    <row r="127" spans="1:23" hidden="1" outlineLevel="1" x14ac:dyDescent="0.3">
      <c r="A127" s="98" t="s">
        <v>136</v>
      </c>
      <c r="B127" s="98"/>
      <c r="C127" s="98"/>
      <c r="D127" s="98"/>
      <c r="E127" s="179"/>
      <c r="F127" s="132">
        <f>IKP!J71</f>
        <v>112248</v>
      </c>
      <c r="G127" s="132">
        <f>IKP!K71</f>
        <v>112459</v>
      </c>
      <c r="H127" s="132">
        <f>IKP!L71</f>
        <v>112669</v>
      </c>
      <c r="I127" s="172">
        <f>IKP!M71</f>
        <v>114144</v>
      </c>
      <c r="J127" s="133">
        <f>IKP!J76</f>
        <v>3191667.2073038877</v>
      </c>
      <c r="K127" s="133">
        <f>IKP!K76</f>
        <v>3354449.524566215</v>
      </c>
      <c r="L127" s="133">
        <f>IKP!L76</f>
        <v>3481900.8850864135</v>
      </c>
      <c r="M127" s="172">
        <f>IKP!M76</f>
        <v>4213109.775342905</v>
      </c>
      <c r="N127" s="132">
        <f>((-0.0000000006)*IKP!$J$5 + 0.0461)*J127</f>
        <v>87627.114643884866</v>
      </c>
      <c r="O127" s="132">
        <f>((-0.0000000006)*IKP!$K$5 + 0.0461)*K127</f>
        <v>88906.562530776122</v>
      </c>
      <c r="P127" s="132">
        <f>((-0.0000000006)*IKP!$L$5 + 0.0461)*L127</f>
        <v>89691.760851145693</v>
      </c>
      <c r="Q127" s="172">
        <f>((-0.0000000006)*IKP!$M$5 + 0.0461)*M127</f>
        <v>90530.893802205843</v>
      </c>
      <c r="R127" s="132">
        <f t="shared" si="15"/>
        <v>21030.507514532368</v>
      </c>
      <c r="S127" s="132">
        <f t="shared" si="15"/>
        <v>21337.575007386269</v>
      </c>
      <c r="T127" s="132">
        <f t="shared" si="15"/>
        <v>21526.022604274967</v>
      </c>
      <c r="U127" s="172">
        <f t="shared" si="15"/>
        <v>21727.414512529402</v>
      </c>
      <c r="V127" s="175"/>
      <c r="W127" s="175"/>
    </row>
    <row r="128" spans="1:23" hidden="1" outlineLevel="1" x14ac:dyDescent="0.3">
      <c r="A128" s="98" t="s">
        <v>137</v>
      </c>
      <c r="B128" s="98"/>
      <c r="C128" s="98"/>
      <c r="D128" s="98"/>
      <c r="E128" s="179"/>
      <c r="F128" s="132">
        <f>IKP!J72</f>
        <v>90127</v>
      </c>
      <c r="G128" s="132">
        <f>IKP!K72</f>
        <v>90296</v>
      </c>
      <c r="H128" s="132">
        <f>IKP!L72</f>
        <v>90465</v>
      </c>
      <c r="I128" s="172">
        <f>IKP!M72</f>
        <v>91649</v>
      </c>
      <c r="J128" s="133">
        <f>IKP!J77</f>
        <v>2562677.2004194059</v>
      </c>
      <c r="K128" s="133">
        <f>IKP!K77</f>
        <v>2693367.1317567378</v>
      </c>
      <c r="L128" s="133">
        <f>IKP!L77</f>
        <v>2795712.783190961</v>
      </c>
      <c r="M128" s="172">
        <f>IKP!M77</f>
        <v>3382808.5383410593</v>
      </c>
      <c r="N128" s="132">
        <f>((-0.0000000006)*IKP!$J$5 + 0.0461)*J128</f>
        <v>70358.215393676597</v>
      </c>
      <c r="O128" s="132">
        <f>((-0.0000000006)*IKP!$K$5 + 0.0461)*K128</f>
        <v>71385.189004694708</v>
      </c>
      <c r="P128" s="132">
        <f>((-0.0000000006)*IKP!$L$5 + 0.0461)*L128</f>
        <v>72015.950664325544</v>
      </c>
      <c r="Q128" s="172">
        <f>((-0.0000000006)*IKP!$M$5 + 0.0461)*M128</f>
        <v>72689.461435365534</v>
      </c>
      <c r="R128" s="132">
        <f t="shared" si="15"/>
        <v>16885.971694482385</v>
      </c>
      <c r="S128" s="132">
        <f t="shared" si="15"/>
        <v>17132.445361126731</v>
      </c>
      <c r="T128" s="132">
        <f t="shared" si="15"/>
        <v>17283.82815943813</v>
      </c>
      <c r="U128" s="172">
        <f t="shared" si="15"/>
        <v>17445.470744487728</v>
      </c>
      <c r="V128" s="175"/>
      <c r="W128" s="175"/>
    </row>
    <row r="129" spans="1:23" hidden="1" outlineLevel="1" x14ac:dyDescent="0.3">
      <c r="A129" s="98" t="s">
        <v>138</v>
      </c>
      <c r="B129" s="98"/>
      <c r="C129" s="98"/>
      <c r="D129" s="98"/>
      <c r="E129" s="179"/>
      <c r="F129" s="132">
        <f>IKP!J73</f>
        <v>228376</v>
      </c>
      <c r="G129" s="132">
        <f>IKP!K73</f>
        <v>228805</v>
      </c>
      <c r="H129" s="132">
        <f>IKP!L73</f>
        <v>229233</v>
      </c>
      <c r="I129" s="172">
        <f>IKP!M73</f>
        <v>232234</v>
      </c>
      <c r="J129" s="133">
        <f>IKP!J78</f>
        <v>6493658.5964581342</v>
      </c>
      <c r="K129" s="133">
        <f>IKP!K78</f>
        <v>6824841.2618676396</v>
      </c>
      <c r="L129" s="133">
        <f>IKP!L78</f>
        <v>7084172.0933975969</v>
      </c>
      <c r="M129" s="172">
        <f>IKP!M78</f>
        <v>8571868.3029067162</v>
      </c>
      <c r="N129" s="132">
        <f>((-0.0000000006)*IKP!$J$5 + 0.0461)*J129</f>
        <v>178283.17594889752</v>
      </c>
      <c r="O129" s="132">
        <f>((-0.0000000006)*IKP!$K$5 + 0.0461)*K129</f>
        <v>180886.06549813028</v>
      </c>
      <c r="P129" s="132">
        <f>((-0.0000000006)*IKP!$L$5 + 0.0461)*L129</f>
        <v>182484.19188233392</v>
      </c>
      <c r="Q129" s="172">
        <f>((-0.0000000006)*IKP!$M$5 + 0.0461)*M129</f>
        <v>184191.47385111329</v>
      </c>
      <c r="R129" s="132">
        <f t="shared" si="15"/>
        <v>42787.962227735399</v>
      </c>
      <c r="S129" s="132">
        <f t="shared" si="15"/>
        <v>43412.655719551272</v>
      </c>
      <c r="T129" s="132">
        <f t="shared" si="15"/>
        <v>43796.206051760142</v>
      </c>
      <c r="U129" s="172">
        <f t="shared" si="15"/>
        <v>44205.953724267187</v>
      </c>
      <c r="V129" s="175"/>
      <c r="W129" s="175"/>
    </row>
    <row r="130" spans="1:23" hidden="1" outlineLevel="1" x14ac:dyDescent="0.3">
      <c r="A130" s="148" t="s">
        <v>462</v>
      </c>
      <c r="B130" s="148"/>
      <c r="C130" s="148"/>
      <c r="D130" s="148"/>
      <c r="E130" s="181"/>
      <c r="F130" s="149">
        <f>SUM(F126:F129)</f>
        <v>614620</v>
      </c>
      <c r="G130" s="149">
        <f t="shared" ref="G130:U130" si="16">SUM(G126:G129)</f>
        <v>615774</v>
      </c>
      <c r="H130" s="149">
        <f t="shared" si="16"/>
        <v>616926</v>
      </c>
      <c r="I130" s="173">
        <f t="shared" si="16"/>
        <v>625002</v>
      </c>
      <c r="J130" s="150">
        <f t="shared" si="16"/>
        <v>17476146.558986489</v>
      </c>
      <c r="K130" s="150">
        <f t="shared" si="16"/>
        <v>18367429.921484601</v>
      </c>
      <c r="L130" s="150">
        <f t="shared" si="16"/>
        <v>19065361.238963872</v>
      </c>
      <c r="M130" s="173">
        <f t="shared" si="16"/>
        <v>23069123.526500441</v>
      </c>
      <c r="N130" s="149">
        <f t="shared" si="16"/>
        <v>479807.00950061041</v>
      </c>
      <c r="O130" s="149">
        <f t="shared" si="16"/>
        <v>486811.63478090806</v>
      </c>
      <c r="P130" s="149">
        <f t="shared" si="16"/>
        <v>491112.72182103246</v>
      </c>
      <c r="Q130" s="173">
        <f t="shared" si="16"/>
        <v>495707.08655878768</v>
      </c>
      <c r="R130" s="149">
        <f>SUM(R126:R129)</f>
        <v>115153.68228014649</v>
      </c>
      <c r="S130" s="149">
        <f t="shared" si="16"/>
        <v>116834.79234741796</v>
      </c>
      <c r="T130" s="149">
        <f t="shared" si="16"/>
        <v>117867.05323704777</v>
      </c>
      <c r="U130" s="173">
        <f t="shared" si="16"/>
        <v>118969.70077410905</v>
      </c>
      <c r="V130" s="175"/>
      <c r="W130" s="175"/>
    </row>
    <row r="131" spans="1:23" hidden="1" outlineLevel="1" x14ac:dyDescent="0.3">
      <c r="A131" s="83"/>
      <c r="B131" s="83"/>
      <c r="C131" s="83"/>
      <c r="D131" s="83"/>
      <c r="E131" s="182"/>
    </row>
    <row r="132" spans="1:23" hidden="1" outlineLevel="1" x14ac:dyDescent="0.3">
      <c r="A132" s="83"/>
      <c r="B132" s="83"/>
      <c r="C132" s="83"/>
      <c r="D132" s="83"/>
      <c r="E132" s="182"/>
    </row>
    <row r="133" spans="1:23" hidden="1" outlineLevel="1" x14ac:dyDescent="0.3"/>
    <row r="134" spans="1:23" hidden="1" outlineLevel="1" x14ac:dyDescent="0.3"/>
    <row r="135" spans="1:23" hidden="1" outlineLevel="1" x14ac:dyDescent="0.3"/>
    <row r="136" spans="1:23" collapsed="1" x14ac:dyDescent="0.3"/>
    <row r="140" spans="1:23" ht="14.5" x14ac:dyDescent="0.35">
      <c r="A140" s="153" t="s">
        <v>316</v>
      </c>
      <c r="B140" t="s">
        <v>453</v>
      </c>
      <c r="C140" t="s">
        <v>454</v>
      </c>
      <c r="D140" t="s">
        <v>455</v>
      </c>
      <c r="E140" t="s">
        <v>489</v>
      </c>
      <c r="F140" t="s">
        <v>490</v>
      </c>
      <c r="G140" t="s">
        <v>491</v>
      </c>
      <c r="H140" t="s">
        <v>492</v>
      </c>
      <c r="I140" t="s">
        <v>493</v>
      </c>
      <c r="J140" t="s">
        <v>456</v>
      </c>
      <c r="K140" t="s">
        <v>457</v>
      </c>
      <c r="L140" t="s">
        <v>458</v>
      </c>
      <c r="M140" t="s">
        <v>494</v>
      </c>
      <c r="N140" t="s">
        <v>459</v>
      </c>
      <c r="O140" t="s">
        <v>460</v>
      </c>
      <c r="P140" t="s">
        <v>461</v>
      </c>
      <c r="Q140" t="s">
        <v>495</v>
      </c>
    </row>
    <row r="141" spans="1:23" ht="14.5" x14ac:dyDescent="0.35">
      <c r="A141" s="154" t="s">
        <v>11</v>
      </c>
      <c r="B141" s="145">
        <v>29367</v>
      </c>
      <c r="C141" s="145">
        <v>28877</v>
      </c>
      <c r="D141" s="145">
        <v>28387</v>
      </c>
      <c r="E141" s="145">
        <v>24957</v>
      </c>
      <c r="F141" s="145">
        <v>250623.8899432898</v>
      </c>
      <c r="G141" s="145">
        <v>263293.53926830372</v>
      </c>
      <c r="H141" s="145">
        <v>273180.22254236042</v>
      </c>
      <c r="I141" s="145">
        <v>329401.82288505509</v>
      </c>
      <c r="J141" s="145">
        <v>6880.870375927645</v>
      </c>
      <c r="K141" s="145">
        <v>6978.3502006738072</v>
      </c>
      <c r="L141" s="145">
        <v>7036.9651515580281</v>
      </c>
      <c r="M141" s="145">
        <v>7078.1543885674837</v>
      </c>
      <c r="N141" s="145">
        <v>1651.4088902226347</v>
      </c>
      <c r="O141" s="145">
        <v>1674.8040481617136</v>
      </c>
      <c r="P141" s="145">
        <v>1688.8716363739268</v>
      </c>
      <c r="Q141" s="145">
        <v>1698.7570532561961</v>
      </c>
    </row>
    <row r="142" spans="1:23" ht="14.5" x14ac:dyDescent="0.35">
      <c r="A142" s="154" t="s">
        <v>16</v>
      </c>
      <c r="B142" s="145">
        <v>13861</v>
      </c>
      <c r="C142" s="145">
        <v>13430</v>
      </c>
      <c r="D142" s="145">
        <v>12998</v>
      </c>
      <c r="E142" s="145">
        <v>9979</v>
      </c>
      <c r="F142" s="145">
        <v>130893.41369186182</v>
      </c>
      <c r="G142" s="145">
        <v>136451.99055149566</v>
      </c>
      <c r="H142" s="145">
        <v>140408.77439595995</v>
      </c>
      <c r="I142" s="145">
        <v>157135.95206718461</v>
      </c>
      <c r="J142" s="145">
        <v>3593.6742218795339</v>
      </c>
      <c r="K142" s="145">
        <v>3616.5330083433641</v>
      </c>
      <c r="L142" s="145">
        <v>3616.8491379134598</v>
      </c>
      <c r="M142" s="145">
        <v>3376.5220817074419</v>
      </c>
      <c r="N142" s="145">
        <v>862.48181325108817</v>
      </c>
      <c r="O142" s="145">
        <v>867.96792200240748</v>
      </c>
      <c r="P142" s="145">
        <v>868.04379309923036</v>
      </c>
      <c r="Q142" s="145">
        <v>810.36529960978601</v>
      </c>
    </row>
    <row r="143" spans="1:23" ht="14.5" x14ac:dyDescent="0.35">
      <c r="A143" s="154" t="s">
        <v>443</v>
      </c>
      <c r="B143" s="145">
        <v>25927</v>
      </c>
      <c r="C143" s="145">
        <v>25194</v>
      </c>
      <c r="D143" s="145">
        <v>24462</v>
      </c>
      <c r="E143" s="145">
        <v>19331</v>
      </c>
      <c r="F143" s="145">
        <v>170493.39090494439</v>
      </c>
      <c r="G143" s="145">
        <v>178211.68153499704</v>
      </c>
      <c r="H143" s="145">
        <v>183928.48041168498</v>
      </c>
      <c r="I143" s="145">
        <v>211476.83132781822</v>
      </c>
      <c r="J143" s="145">
        <v>4680.8902496674909</v>
      </c>
      <c r="K143" s="145">
        <v>4723.3347504773938</v>
      </c>
      <c r="L143" s="145">
        <v>4737.8916928561757</v>
      </c>
      <c r="M143" s="145">
        <v>4544.1936193099746</v>
      </c>
      <c r="N143" s="145">
        <v>1123.4136599201979</v>
      </c>
      <c r="O143" s="145">
        <v>1133.6003401145745</v>
      </c>
      <c r="P143" s="145">
        <v>1137.0940062854822</v>
      </c>
      <c r="Q143" s="145">
        <v>1090.6064686343939</v>
      </c>
    </row>
    <row r="144" spans="1:23" ht="14.5" x14ac:dyDescent="0.35">
      <c r="A144" s="154" t="s">
        <v>20</v>
      </c>
      <c r="B144" s="145">
        <v>21134</v>
      </c>
      <c r="C144" s="145">
        <v>21341</v>
      </c>
      <c r="D144" s="145">
        <v>21546</v>
      </c>
      <c r="E144" s="145">
        <v>22990</v>
      </c>
      <c r="F144" s="145">
        <v>274173.9145995063</v>
      </c>
      <c r="G144" s="145">
        <v>291879.4973229554</v>
      </c>
      <c r="H144" s="145">
        <v>306830.59950120328</v>
      </c>
      <c r="I144" s="145">
        <v>404960.00202261854</v>
      </c>
      <c r="J144" s="145">
        <v>7527.4355020454805</v>
      </c>
      <c r="K144" s="145">
        <v>7735.9944128390471</v>
      </c>
      <c r="L144" s="145">
        <v>7903.7794757884367</v>
      </c>
      <c r="M144" s="145">
        <v>8701.7412059401831</v>
      </c>
      <c r="N144" s="145">
        <v>1806.5845204909151</v>
      </c>
      <c r="O144" s="145">
        <v>1856.6386590813713</v>
      </c>
      <c r="P144" s="145">
        <v>1896.9070741892251</v>
      </c>
      <c r="Q144" s="145">
        <v>2088.4178894256438</v>
      </c>
    </row>
    <row r="145" spans="1:17" ht="14.5" x14ac:dyDescent="0.35">
      <c r="A145" s="154" t="s">
        <v>24</v>
      </c>
      <c r="B145" s="145">
        <v>19015</v>
      </c>
      <c r="C145" s="145">
        <v>18562</v>
      </c>
      <c r="D145" s="145">
        <v>18109</v>
      </c>
      <c r="E145" s="145">
        <v>14933</v>
      </c>
      <c r="F145" s="145">
        <v>125040.76167923467</v>
      </c>
      <c r="G145" s="145">
        <v>131299.72345211619</v>
      </c>
      <c r="H145" s="145">
        <v>136160.61040696604</v>
      </c>
      <c r="I145" s="145">
        <v>163363.69159476017</v>
      </c>
      <c r="J145" s="145">
        <v>3432.9898598922873</v>
      </c>
      <c r="K145" s="145">
        <v>3479.976964291553</v>
      </c>
      <c r="L145" s="145">
        <v>3507.4188809554607</v>
      </c>
      <c r="M145" s="145">
        <v>3510.3431440254431</v>
      </c>
      <c r="N145" s="145">
        <v>823.91756637414892</v>
      </c>
      <c r="O145" s="145">
        <v>835.19447142997274</v>
      </c>
      <c r="P145" s="145">
        <v>841.78053142931049</v>
      </c>
      <c r="Q145" s="145">
        <v>842.48235456610632</v>
      </c>
    </row>
    <row r="146" spans="1:17" ht="14.5" x14ac:dyDescent="0.35">
      <c r="A146" s="154" t="s">
        <v>25</v>
      </c>
      <c r="B146" s="145">
        <v>41755</v>
      </c>
      <c r="C146" s="145">
        <v>41093</v>
      </c>
      <c r="D146" s="145">
        <v>40430</v>
      </c>
      <c r="E146" s="145">
        <v>35787</v>
      </c>
      <c r="F146" s="145">
        <v>356345.57580216113</v>
      </c>
      <c r="G146" s="145">
        <v>374676.08855325705</v>
      </c>
      <c r="H146" s="145">
        <v>389075.15402781661</v>
      </c>
      <c r="I146" s="145">
        <v>472344.55405647587</v>
      </c>
      <c r="J146" s="145">
        <v>9783.45566611703</v>
      </c>
      <c r="K146" s="145">
        <v>9930.4410013605539</v>
      </c>
      <c r="L146" s="145">
        <v>10022.351818701909</v>
      </c>
      <c r="M146" s="145">
        <v>10149.693917684997</v>
      </c>
      <c r="N146" s="145">
        <v>2348.0293598680869</v>
      </c>
      <c r="O146" s="145">
        <v>2383.3058403265336</v>
      </c>
      <c r="P146" s="145">
        <v>2405.3644364884581</v>
      </c>
      <c r="Q146" s="145">
        <v>2435.9265402443998</v>
      </c>
    </row>
    <row r="147" spans="1:17" ht="14.5" x14ac:dyDescent="0.35">
      <c r="A147" s="154" t="s">
        <v>31</v>
      </c>
      <c r="B147" s="145">
        <v>41161</v>
      </c>
      <c r="C147" s="145">
        <v>40221</v>
      </c>
      <c r="D147" s="145">
        <v>39282</v>
      </c>
      <c r="E147" s="145">
        <v>32705</v>
      </c>
      <c r="F147" s="145">
        <v>388695.17357843765</v>
      </c>
      <c r="G147" s="145">
        <v>408654.91526222683</v>
      </c>
      <c r="H147" s="145">
        <v>424337.39620111545</v>
      </c>
      <c r="I147" s="145">
        <v>514994.61993759626</v>
      </c>
      <c r="J147" s="145">
        <v>10671.61277301663</v>
      </c>
      <c r="K147" s="145">
        <v>10831.018177853941</v>
      </c>
      <c r="L147" s="145">
        <v>10930.686862249311</v>
      </c>
      <c r="M147" s="145">
        <v>11066.15439244833</v>
      </c>
      <c r="N147" s="145">
        <v>2561.1870655239909</v>
      </c>
      <c r="O147" s="145">
        <v>2599.4443626849461</v>
      </c>
      <c r="P147" s="145">
        <v>2623.3648469398349</v>
      </c>
      <c r="Q147" s="145">
        <v>2655.8770541875997</v>
      </c>
    </row>
    <row r="148" spans="1:17" ht="14.5" x14ac:dyDescent="0.35">
      <c r="A148" s="154" t="s">
        <v>2</v>
      </c>
      <c r="B148" s="145">
        <v>80627</v>
      </c>
      <c r="C148" s="145">
        <v>79117</v>
      </c>
      <c r="D148" s="145">
        <v>77607</v>
      </c>
      <c r="E148" s="145">
        <v>67039</v>
      </c>
      <c r="F148" s="145">
        <v>738858.72397600824</v>
      </c>
      <c r="G148" s="145">
        <v>776540.51889878465</v>
      </c>
      <c r="H148" s="145">
        <v>806049.05861693854</v>
      </c>
      <c r="I148" s="145">
        <v>975319.36092649563</v>
      </c>
      <c r="J148" s="145">
        <v>20285.341141870402</v>
      </c>
      <c r="K148" s="145">
        <v>20581.483696668256</v>
      </c>
      <c r="L148" s="145">
        <v>20763.359379187881</v>
      </c>
      <c r="M148" s="145">
        <v>20957.56773393957</v>
      </c>
      <c r="N148" s="145">
        <v>4868.4818740488963</v>
      </c>
      <c r="O148" s="145">
        <v>4939.5560872003816</v>
      </c>
      <c r="P148" s="145">
        <v>4983.2062510050919</v>
      </c>
      <c r="Q148" s="145">
        <v>5029.8162561454974</v>
      </c>
    </row>
    <row r="149" spans="1:17" ht="14.5" x14ac:dyDescent="0.35">
      <c r="A149" s="154" t="s">
        <v>441</v>
      </c>
      <c r="B149" s="145">
        <v>33364</v>
      </c>
      <c r="C149" s="145">
        <v>32763</v>
      </c>
      <c r="D149" s="145">
        <v>32161</v>
      </c>
      <c r="E149" s="145">
        <v>27945</v>
      </c>
      <c r="F149" s="145">
        <v>319666.00348861469</v>
      </c>
      <c r="G149" s="145">
        <v>335907.61803071242</v>
      </c>
      <c r="H149" s="145">
        <v>348592.54606396845</v>
      </c>
      <c r="I149" s="145">
        <v>421041.79454487935</v>
      </c>
      <c r="J149" s="145">
        <v>8776.4192555374702</v>
      </c>
      <c r="K149" s="145">
        <v>8902.9187734978805</v>
      </c>
      <c r="L149" s="145">
        <v>8979.543159881041</v>
      </c>
      <c r="M149" s="145">
        <v>9047.3052022790671</v>
      </c>
      <c r="N149" s="145">
        <v>2106.3406213289927</v>
      </c>
      <c r="O149" s="145">
        <v>2136.700505639491</v>
      </c>
      <c r="P149" s="145">
        <v>2155.0903583714503</v>
      </c>
      <c r="Q149" s="145">
        <v>2171.3532485469755</v>
      </c>
    </row>
    <row r="150" spans="1:17" ht="14.5" x14ac:dyDescent="0.35">
      <c r="A150" s="154" t="s">
        <v>35</v>
      </c>
      <c r="B150" s="145">
        <v>28517</v>
      </c>
      <c r="C150" s="145">
        <v>27953</v>
      </c>
      <c r="D150" s="145">
        <v>27388</v>
      </c>
      <c r="E150" s="145">
        <v>23438</v>
      </c>
      <c r="F150" s="145">
        <v>243369.81882769076</v>
      </c>
      <c r="G150" s="145">
        <v>254868.72954832198</v>
      </c>
      <c r="H150" s="145">
        <v>263566.41895903641</v>
      </c>
      <c r="I150" s="145">
        <v>309352.88395159366</v>
      </c>
      <c r="J150" s="145">
        <v>6681.7101001235615</v>
      </c>
      <c r="K150" s="145">
        <v>6755.0584603468133</v>
      </c>
      <c r="L150" s="145">
        <v>6789.319109834476</v>
      </c>
      <c r="M150" s="145">
        <v>6647.3447353145275</v>
      </c>
      <c r="N150" s="145">
        <v>1603.6104240296545</v>
      </c>
      <c r="O150" s="145">
        <v>1621.2140304832351</v>
      </c>
      <c r="P150" s="145">
        <v>1629.4365863602743</v>
      </c>
      <c r="Q150" s="145">
        <v>1595.3627364754866</v>
      </c>
    </row>
    <row r="151" spans="1:17" ht="14.5" x14ac:dyDescent="0.35">
      <c r="A151" s="154" t="s">
        <v>42</v>
      </c>
      <c r="B151" s="145">
        <v>19619</v>
      </c>
      <c r="C151" s="145">
        <v>19190</v>
      </c>
      <c r="D151" s="145">
        <v>18761</v>
      </c>
      <c r="E151" s="145">
        <v>15759</v>
      </c>
      <c r="F151" s="145">
        <v>185267.86546574108</v>
      </c>
      <c r="G151" s="145">
        <v>194974.95894886088</v>
      </c>
      <c r="H151" s="145">
        <v>202662.64167122671</v>
      </c>
      <c r="I151" s="145">
        <v>248151.66535993211</v>
      </c>
      <c r="J151" s="145">
        <v>5086.5229463281566</v>
      </c>
      <c r="K151" s="145">
        <v>5167.629816091523</v>
      </c>
      <c r="L151" s="145">
        <v>5220.4728940140349</v>
      </c>
      <c r="M151" s="145">
        <v>5332.2588922364548</v>
      </c>
      <c r="N151" s="145">
        <v>1220.7655071187576</v>
      </c>
      <c r="O151" s="145">
        <v>1240.2311558619656</v>
      </c>
      <c r="P151" s="145">
        <v>1252.9134945633684</v>
      </c>
      <c r="Q151" s="145">
        <v>1279.7421341367492</v>
      </c>
    </row>
    <row r="152" spans="1:17" ht="14.5" x14ac:dyDescent="0.35">
      <c r="A152" s="154" t="s">
        <v>5</v>
      </c>
      <c r="B152" s="145">
        <v>55336</v>
      </c>
      <c r="C152" s="145">
        <v>54885</v>
      </c>
      <c r="D152" s="145">
        <v>54435</v>
      </c>
      <c r="E152" s="145">
        <v>51280</v>
      </c>
      <c r="F152" s="145">
        <v>621956.14901143278</v>
      </c>
      <c r="G152" s="145">
        <v>653675.91261101584</v>
      </c>
      <c r="H152" s="145">
        <v>678515.59729023441</v>
      </c>
      <c r="I152" s="145">
        <v>821003.87272118358</v>
      </c>
      <c r="J152" s="145">
        <v>17075.784921490042</v>
      </c>
      <c r="K152" s="145">
        <v>17325.071661923066</v>
      </c>
      <c r="L152" s="145">
        <v>17478.170888376</v>
      </c>
      <c r="M152" s="145">
        <v>17641.651505857521</v>
      </c>
      <c r="N152" s="145">
        <v>4098.1883811576099</v>
      </c>
      <c r="O152" s="145">
        <v>4158.0171988615357</v>
      </c>
      <c r="P152" s="145">
        <v>4194.76101321024</v>
      </c>
      <c r="Q152" s="145">
        <v>4233.9963614058051</v>
      </c>
    </row>
    <row r="153" spans="1:17" ht="14.5" x14ac:dyDescent="0.35">
      <c r="A153" s="154" t="s">
        <v>50</v>
      </c>
      <c r="B153" s="145">
        <v>31969</v>
      </c>
      <c r="C153" s="145">
        <v>31597</v>
      </c>
      <c r="D153" s="145">
        <v>31225</v>
      </c>
      <c r="E153" s="145">
        <v>28621</v>
      </c>
      <c r="F153" s="145">
        <v>272829.88175833522</v>
      </c>
      <c r="G153" s="145">
        <v>288093.84493751405</v>
      </c>
      <c r="H153" s="145">
        <v>300491.50839768921</v>
      </c>
      <c r="I153" s="145">
        <v>377762.13378183125</v>
      </c>
      <c r="J153" s="145">
        <v>7490.5351260949665</v>
      </c>
      <c r="K153" s="145">
        <v>7635.6592198182043</v>
      </c>
      <c r="L153" s="145">
        <v>7740.4881409588688</v>
      </c>
      <c r="M153" s="145">
        <v>8117.3160538201682</v>
      </c>
      <c r="N153" s="145">
        <v>1797.7284302627918</v>
      </c>
      <c r="O153" s="145">
        <v>1832.5582127563689</v>
      </c>
      <c r="P153" s="145">
        <v>1857.7171538301286</v>
      </c>
      <c r="Q153" s="145">
        <v>1948.1558529168403</v>
      </c>
    </row>
    <row r="154" spans="1:17" ht="14.5" x14ac:dyDescent="0.35">
      <c r="A154" s="154" t="s">
        <v>51</v>
      </c>
      <c r="B154" s="145">
        <v>40576</v>
      </c>
      <c r="C154" s="145">
        <v>39847</v>
      </c>
      <c r="D154" s="145">
        <v>39119</v>
      </c>
      <c r="E154" s="145">
        <v>34014</v>
      </c>
      <c r="F154" s="145">
        <v>411669.31385950802</v>
      </c>
      <c r="G154" s="145">
        <v>432183.04037332826</v>
      </c>
      <c r="H154" s="145">
        <v>448100.31797568989</v>
      </c>
      <c r="I154" s="145">
        <v>537179.08782718098</v>
      </c>
      <c r="J154" s="145">
        <v>11302.367013197774</v>
      </c>
      <c r="K154" s="145">
        <v>11454.609235374046</v>
      </c>
      <c r="L154" s="145">
        <v>11542.806037168533</v>
      </c>
      <c r="M154" s="145">
        <v>11542.852084572192</v>
      </c>
      <c r="N154" s="145">
        <v>2712.5680831674663</v>
      </c>
      <c r="O154" s="145">
        <v>2749.1062164897712</v>
      </c>
      <c r="P154" s="145">
        <v>2770.2734489204486</v>
      </c>
      <c r="Q154" s="145">
        <v>2770.2845002973258</v>
      </c>
    </row>
    <row r="155" spans="1:17" ht="14.5" x14ac:dyDescent="0.35">
      <c r="A155" s="154" t="s">
        <v>4</v>
      </c>
      <c r="B155" s="145">
        <v>50248</v>
      </c>
      <c r="C155" s="145">
        <v>49821</v>
      </c>
      <c r="D155" s="145">
        <v>49394</v>
      </c>
      <c r="E155" s="145">
        <v>46404</v>
      </c>
      <c r="F155" s="145">
        <v>449115.7015194947</v>
      </c>
      <c r="G155" s="145">
        <v>472020.60229698889</v>
      </c>
      <c r="H155" s="145">
        <v>489957.38518427446</v>
      </c>
      <c r="I155" s="145">
        <v>592848.43607297214</v>
      </c>
      <c r="J155" s="145">
        <v>12330.456313038299</v>
      </c>
      <c r="K155" s="145">
        <v>12510.466735777967</v>
      </c>
      <c r="L155" s="145">
        <v>12621.019974297744</v>
      </c>
      <c r="M155" s="145">
        <v>12739.069634746884</v>
      </c>
      <c r="N155" s="145">
        <v>2959.3095151291923</v>
      </c>
      <c r="O155" s="145">
        <v>3002.5120165867124</v>
      </c>
      <c r="P155" s="145">
        <v>3029.0447938314587</v>
      </c>
      <c r="Q155" s="145">
        <v>3057.3767123392522</v>
      </c>
    </row>
    <row r="156" spans="1:17" ht="14.5" x14ac:dyDescent="0.35">
      <c r="A156" s="154" t="s">
        <v>56</v>
      </c>
      <c r="B156" s="145">
        <v>20008</v>
      </c>
      <c r="C156" s="145">
        <v>19474</v>
      </c>
      <c r="D156" s="145">
        <v>18938</v>
      </c>
      <c r="E156" s="145">
        <v>15196</v>
      </c>
      <c r="F156" s="145">
        <v>131570.63158969904</v>
      </c>
      <c r="G156" s="145">
        <v>137750.82504614323</v>
      </c>
      <c r="H156" s="145">
        <v>142393.81743260936</v>
      </c>
      <c r="I156" s="145">
        <v>166240.85297488622</v>
      </c>
      <c r="J156" s="145">
        <v>3612.2672162358608</v>
      </c>
      <c r="K156" s="145">
        <v>3650.9574077477482</v>
      </c>
      <c r="L156" s="145">
        <v>3667.9827029396715</v>
      </c>
      <c r="M156" s="145">
        <v>3572.1673084183112</v>
      </c>
      <c r="N156" s="145">
        <v>866.94413189660645</v>
      </c>
      <c r="O156" s="145">
        <v>876.22977785945955</v>
      </c>
      <c r="P156" s="145">
        <v>880.31584870552115</v>
      </c>
      <c r="Q156" s="145">
        <v>857.32015402039474</v>
      </c>
    </row>
    <row r="157" spans="1:17" ht="14.5" x14ac:dyDescent="0.35">
      <c r="A157" s="154" t="s">
        <v>59</v>
      </c>
      <c r="B157" s="145">
        <v>27736</v>
      </c>
      <c r="C157" s="145">
        <v>27293</v>
      </c>
      <c r="D157" s="145">
        <v>26853</v>
      </c>
      <c r="E157" s="145">
        <v>23759</v>
      </c>
      <c r="F157" s="145">
        <v>265743.20443472662</v>
      </c>
      <c r="G157" s="145">
        <v>279825.61483723205</v>
      </c>
      <c r="H157" s="145">
        <v>291059.2220221929</v>
      </c>
      <c r="I157" s="145">
        <v>357972.15947725135</v>
      </c>
      <c r="J157" s="145">
        <v>7295.9706411577527</v>
      </c>
      <c r="K157" s="145">
        <v>7416.5174765765551</v>
      </c>
      <c r="L157" s="145">
        <v>7497.517877935562</v>
      </c>
      <c r="M157" s="145">
        <v>7692.0710073697737</v>
      </c>
      <c r="N157" s="145">
        <v>1751.0329538778608</v>
      </c>
      <c r="O157" s="145">
        <v>1779.9641943783731</v>
      </c>
      <c r="P157" s="145">
        <v>1799.4042907045346</v>
      </c>
      <c r="Q157" s="145">
        <v>1846.0970417687458</v>
      </c>
    </row>
    <row r="158" spans="1:17" ht="14.5" x14ac:dyDescent="0.35">
      <c r="A158" s="154" t="s">
        <v>61</v>
      </c>
      <c r="B158" s="145">
        <v>30077</v>
      </c>
      <c r="C158" s="145">
        <v>30131</v>
      </c>
      <c r="D158" s="145">
        <v>30184</v>
      </c>
      <c r="E158" s="145">
        <v>30562</v>
      </c>
      <c r="F158" s="145">
        <v>390192.52528671105</v>
      </c>
      <c r="G158" s="145">
        <v>412099.7672947832</v>
      </c>
      <c r="H158" s="145">
        <v>429841.95745587675</v>
      </c>
      <c r="I158" s="145">
        <v>538337.86784755404</v>
      </c>
      <c r="J158" s="145">
        <v>10712.72251324983</v>
      </c>
      <c r="K158" s="145">
        <v>10922.320774717835</v>
      </c>
      <c r="L158" s="145">
        <v>11072.481188953781</v>
      </c>
      <c r="M158" s="145">
        <v>11567.751837144144</v>
      </c>
      <c r="N158" s="145">
        <v>2571.0534031799593</v>
      </c>
      <c r="O158" s="145">
        <v>2621.3569859322802</v>
      </c>
      <c r="P158" s="145">
        <v>2657.3954853489076</v>
      </c>
      <c r="Q158" s="145">
        <v>2776.2604409145947</v>
      </c>
    </row>
    <row r="159" spans="1:17" ht="14.5" x14ac:dyDescent="0.35">
      <c r="A159" s="154" t="s">
        <v>6</v>
      </c>
      <c r="B159" s="145">
        <v>67964</v>
      </c>
      <c r="C159" s="145">
        <v>66775</v>
      </c>
      <c r="D159" s="145">
        <v>65587</v>
      </c>
      <c r="E159" s="145">
        <v>57267</v>
      </c>
      <c r="F159" s="145">
        <v>956530.2654413135</v>
      </c>
      <c r="G159" s="145">
        <v>1005313.3089788205</v>
      </c>
      <c r="H159" s="145">
        <v>1043515.2147200156</v>
      </c>
      <c r="I159" s="145">
        <v>1262653.409811219</v>
      </c>
      <c r="J159" s="145">
        <v>26261.50591087959</v>
      </c>
      <c r="K159" s="145">
        <v>26644.893569923403</v>
      </c>
      <c r="L159" s="145">
        <v>26880.350754406027</v>
      </c>
      <c r="M159" s="145">
        <v>27131.773879143453</v>
      </c>
      <c r="N159" s="145">
        <v>6302.7614186111014</v>
      </c>
      <c r="O159" s="145">
        <v>6394.7744567816171</v>
      </c>
      <c r="P159" s="145">
        <v>6451.2841810574464</v>
      </c>
      <c r="Q159" s="145">
        <v>6511.6257309944294</v>
      </c>
    </row>
    <row r="160" spans="1:17" ht="14.5" x14ac:dyDescent="0.35">
      <c r="A160" s="154" t="s">
        <v>63</v>
      </c>
      <c r="B160" s="145">
        <v>28546</v>
      </c>
      <c r="C160" s="145">
        <v>28020</v>
      </c>
      <c r="D160" s="145">
        <v>27495</v>
      </c>
      <c r="E160" s="145">
        <v>23814</v>
      </c>
      <c r="F160" s="145">
        <v>370330.6788188467</v>
      </c>
      <c r="G160" s="145">
        <v>383227.75479074125</v>
      </c>
      <c r="H160" s="145">
        <v>391548.65558737516</v>
      </c>
      <c r="I160" s="145">
        <v>419474.44489633053</v>
      </c>
      <c r="J160" s="145">
        <v>10167.416193876705</v>
      </c>
      <c r="K160" s="145">
        <v>10157.094955613611</v>
      </c>
      <c r="L160" s="145">
        <v>10086.067793873715</v>
      </c>
      <c r="M160" s="145">
        <v>9013.6261452048529</v>
      </c>
      <c r="N160" s="145">
        <v>2440.179886530409</v>
      </c>
      <c r="O160" s="145">
        <v>2437.7027893472668</v>
      </c>
      <c r="P160" s="145">
        <v>2420.6562705296915</v>
      </c>
      <c r="Q160" s="145">
        <v>2163.2702748491643</v>
      </c>
    </row>
    <row r="161" spans="1:17" ht="14.5" x14ac:dyDescent="0.35">
      <c r="A161" s="154" t="s">
        <v>65</v>
      </c>
      <c r="B161" s="145">
        <v>10636</v>
      </c>
      <c r="C161" s="145">
        <v>10414</v>
      </c>
      <c r="D161" s="145">
        <v>10192</v>
      </c>
      <c r="E161" s="145">
        <v>8637</v>
      </c>
      <c r="F161" s="145">
        <v>69941.285365255855</v>
      </c>
      <c r="G161" s="145">
        <v>73664.223684427212</v>
      </c>
      <c r="H161" s="145">
        <v>76633.107364724608</v>
      </c>
      <c r="I161" s="145">
        <v>94486.854905507513</v>
      </c>
      <c r="J161" s="145">
        <v>1920.235611349691</v>
      </c>
      <c r="K161" s="145">
        <v>1952.4016865710717</v>
      </c>
      <c r="L161" s="145">
        <v>1974.0246968191539</v>
      </c>
      <c r="M161" s="145">
        <v>2030.3243644912445</v>
      </c>
      <c r="N161" s="145">
        <v>460.85654672392582</v>
      </c>
      <c r="O161" s="145">
        <v>468.57640477705718</v>
      </c>
      <c r="P161" s="145">
        <v>473.76592723659689</v>
      </c>
      <c r="Q161" s="145">
        <v>487.27784747789872</v>
      </c>
    </row>
    <row r="162" spans="1:17" ht="14.5" x14ac:dyDescent="0.35">
      <c r="A162" s="154" t="s">
        <v>67</v>
      </c>
      <c r="B162" s="145">
        <v>21777</v>
      </c>
      <c r="C162" s="145">
        <v>21298</v>
      </c>
      <c r="D162" s="145">
        <v>20819</v>
      </c>
      <c r="E162" s="145">
        <v>17468</v>
      </c>
      <c r="F162" s="145">
        <v>143203.40084610536</v>
      </c>
      <c r="G162" s="145">
        <v>150653.02823419729</v>
      </c>
      <c r="H162" s="145">
        <v>156536.95665484708</v>
      </c>
      <c r="I162" s="145">
        <v>191096.02657049961</v>
      </c>
      <c r="J162" s="145">
        <v>3931.6445005981777</v>
      </c>
      <c r="K162" s="145">
        <v>3992.9182946601391</v>
      </c>
      <c r="L162" s="145">
        <v>4032.3018213381047</v>
      </c>
      <c r="M162" s="145">
        <v>4106.2528654547941</v>
      </c>
      <c r="N162" s="145">
        <v>943.59468014356253</v>
      </c>
      <c r="O162" s="145">
        <v>958.30039071843328</v>
      </c>
      <c r="P162" s="145">
        <v>967.75243712114514</v>
      </c>
      <c r="Q162" s="145">
        <v>985.50068770915072</v>
      </c>
    </row>
    <row r="163" spans="1:17" ht="14.5" x14ac:dyDescent="0.35">
      <c r="A163" s="154" t="s">
        <v>68</v>
      </c>
      <c r="B163" s="145">
        <v>28692</v>
      </c>
      <c r="C163" s="145">
        <v>28082</v>
      </c>
      <c r="D163" s="145">
        <v>27473</v>
      </c>
      <c r="E163" s="145">
        <v>23210</v>
      </c>
      <c r="F163" s="145">
        <v>270946.81665441883</v>
      </c>
      <c r="G163" s="145">
        <v>285319.79141229345</v>
      </c>
      <c r="H163" s="145">
        <v>296772.60032160394</v>
      </c>
      <c r="I163" s="145">
        <v>365480.05285893928</v>
      </c>
      <c r="J163" s="145">
        <v>7438.8356377005694</v>
      </c>
      <c r="K163" s="145">
        <v>7562.1355130527436</v>
      </c>
      <c r="L163" s="145">
        <v>7644.6912114091774</v>
      </c>
      <c r="M163" s="145">
        <v>7853.3998914149452</v>
      </c>
      <c r="N163" s="145">
        <v>1785.3205530481366</v>
      </c>
      <c r="O163" s="145">
        <v>1814.9125231326584</v>
      </c>
      <c r="P163" s="145">
        <v>1834.7258907382025</v>
      </c>
      <c r="Q163" s="145">
        <v>1884.8159739395865</v>
      </c>
    </row>
    <row r="164" spans="1:17" ht="14.5" x14ac:dyDescent="0.35">
      <c r="A164" s="154" t="s">
        <v>71</v>
      </c>
      <c r="B164" s="145">
        <v>32824</v>
      </c>
      <c r="C164" s="145">
        <v>33725</v>
      </c>
      <c r="D164" s="145">
        <v>34626</v>
      </c>
      <c r="E164" s="145">
        <v>40932</v>
      </c>
      <c r="F164" s="145">
        <v>425829.68547431601</v>
      </c>
      <c r="G164" s="145">
        <v>461254.67631398106</v>
      </c>
      <c r="H164" s="145">
        <v>493099.24525799055</v>
      </c>
      <c r="I164" s="145">
        <v>721001.42682861339</v>
      </c>
      <c r="J164" s="145">
        <v>11691.139534358894</v>
      </c>
      <c r="K164" s="145">
        <v>12225.125887868275</v>
      </c>
      <c r="L164" s="145">
        <v>12701.952479747999</v>
      </c>
      <c r="M164" s="145">
        <v>15492.808657744394</v>
      </c>
      <c r="N164" s="145">
        <v>2805.8734882461345</v>
      </c>
      <c r="O164" s="145">
        <v>2934.0302130883861</v>
      </c>
      <c r="P164" s="145">
        <v>3048.4685951395199</v>
      </c>
      <c r="Q164" s="145">
        <v>3718.2740778586544</v>
      </c>
    </row>
    <row r="165" spans="1:17" ht="14.5" x14ac:dyDescent="0.35">
      <c r="A165" s="154" t="s">
        <v>76</v>
      </c>
      <c r="B165" s="145">
        <v>57617</v>
      </c>
      <c r="C165" s="145">
        <v>57084</v>
      </c>
      <c r="D165" s="145">
        <v>56553</v>
      </c>
      <c r="E165" s="145">
        <v>52825</v>
      </c>
      <c r="F165" s="145">
        <v>747472.24555123283</v>
      </c>
      <c r="G165" s="145">
        <v>780734.2310661911</v>
      </c>
      <c r="H165" s="145">
        <v>805355.55989935715</v>
      </c>
      <c r="I165" s="145">
        <v>930492.04466484673</v>
      </c>
      <c r="J165" s="145">
        <v>20521.825083815391</v>
      </c>
      <c r="K165" s="145">
        <v>20692.634134412827</v>
      </c>
      <c r="L165" s="145">
        <v>20745.495251752691</v>
      </c>
      <c r="M165" s="145">
        <v>19994.322714388436</v>
      </c>
      <c r="N165" s="145">
        <v>4925.2380201156939</v>
      </c>
      <c r="O165" s="145">
        <v>4966.2321922590791</v>
      </c>
      <c r="P165" s="145">
        <v>4978.9188604206447</v>
      </c>
      <c r="Q165" s="145">
        <v>4798.6374514532254</v>
      </c>
    </row>
    <row r="166" spans="1:17" ht="14.5" x14ac:dyDescent="0.35">
      <c r="A166" s="154" t="s">
        <v>77</v>
      </c>
      <c r="B166" s="145">
        <v>19705</v>
      </c>
      <c r="C166" s="145">
        <v>19494</v>
      </c>
      <c r="D166" s="145">
        <v>19283</v>
      </c>
      <c r="E166" s="145">
        <v>17804</v>
      </c>
      <c r="F166" s="145">
        <v>255635.32635484391</v>
      </c>
      <c r="G166" s="145">
        <v>266618.1959989547</v>
      </c>
      <c r="H166" s="145">
        <v>274603.84526973468</v>
      </c>
      <c r="I166" s="145">
        <v>313610.60791695089</v>
      </c>
      <c r="J166" s="145">
        <v>7018.4591921929677</v>
      </c>
      <c r="K166" s="145">
        <v>7066.4671329311832</v>
      </c>
      <c r="L166" s="145">
        <v>7073.6368528556777</v>
      </c>
      <c r="M166" s="145">
        <v>6738.834294500175</v>
      </c>
      <c r="N166" s="145">
        <v>1684.4302061263122</v>
      </c>
      <c r="O166" s="145">
        <v>1695.9521119034841</v>
      </c>
      <c r="P166" s="145">
        <v>1697.6728446853629</v>
      </c>
      <c r="Q166" s="145">
        <v>1617.320230680042</v>
      </c>
    </row>
    <row r="167" spans="1:17" ht="14.5" x14ac:dyDescent="0.35">
      <c r="A167" s="154" t="s">
        <v>82</v>
      </c>
      <c r="B167" s="145">
        <v>18210</v>
      </c>
      <c r="C167" s="145">
        <v>17826</v>
      </c>
      <c r="D167" s="145">
        <v>17444</v>
      </c>
      <c r="E167" s="145">
        <v>14762</v>
      </c>
      <c r="F167" s="145">
        <v>119747.16119794181</v>
      </c>
      <c r="G167" s="145">
        <v>126093.57128851544</v>
      </c>
      <c r="H167" s="145">
        <v>131160.5106819325</v>
      </c>
      <c r="I167" s="145">
        <v>161492.98970882272</v>
      </c>
      <c r="J167" s="145">
        <v>3287.6542386872766</v>
      </c>
      <c r="K167" s="145">
        <v>3341.9927467655007</v>
      </c>
      <c r="L167" s="145">
        <v>3378.6191926327824</v>
      </c>
      <c r="M167" s="145">
        <v>3470.145683526659</v>
      </c>
      <c r="N167" s="145">
        <v>789.03701728494627</v>
      </c>
      <c r="O167" s="145">
        <v>802.07825922372012</v>
      </c>
      <c r="P167" s="145">
        <v>810.86860623186783</v>
      </c>
      <c r="Q167" s="145">
        <v>832.83496404639811</v>
      </c>
    </row>
    <row r="168" spans="1:17" ht="14.5" x14ac:dyDescent="0.35">
      <c r="A168" s="154" t="s">
        <v>7</v>
      </c>
      <c r="B168" s="145">
        <v>26839</v>
      </c>
      <c r="C168" s="145">
        <v>26264</v>
      </c>
      <c r="D168" s="145">
        <v>25689</v>
      </c>
      <c r="E168" s="145">
        <v>21662</v>
      </c>
      <c r="F168" s="145">
        <v>301295.35124424868</v>
      </c>
      <c r="G168" s="145">
        <v>316661.41415770532</v>
      </c>
      <c r="H168" s="145">
        <v>328694.54789569811</v>
      </c>
      <c r="I168" s="145">
        <v>397720.40295379469</v>
      </c>
      <c r="J168" s="145">
        <v>8272.0536228624296</v>
      </c>
      <c r="K168" s="145">
        <v>8392.8160530412806</v>
      </c>
      <c r="L168" s="145">
        <v>8466.9821904493256</v>
      </c>
      <c r="M168" s="145">
        <v>8546.1774040411692</v>
      </c>
      <c r="N168" s="145">
        <v>1985.2928694869831</v>
      </c>
      <c r="O168" s="145">
        <v>2014.2758527299075</v>
      </c>
      <c r="P168" s="145">
        <v>2032.075725707838</v>
      </c>
      <c r="Q168" s="145">
        <v>2051.0825769698804</v>
      </c>
    </row>
    <row r="169" spans="1:17" ht="14.5" x14ac:dyDescent="0.35">
      <c r="A169" s="154" t="s">
        <v>86</v>
      </c>
      <c r="B169" s="145">
        <v>29643</v>
      </c>
      <c r="C169" s="145">
        <v>29116</v>
      </c>
      <c r="D169" s="145">
        <v>28588</v>
      </c>
      <c r="E169" s="145">
        <v>24898</v>
      </c>
      <c r="F169" s="145">
        <v>194929.43983473856</v>
      </c>
      <c r="G169" s="145">
        <v>205954.24781983701</v>
      </c>
      <c r="H169" s="145">
        <v>214951.65554775775</v>
      </c>
      <c r="I169" s="145">
        <v>272378.57050333748</v>
      </c>
      <c r="J169" s="145">
        <v>5351.7811420871458</v>
      </c>
      <c r="K169" s="145">
        <v>5458.625648761602</v>
      </c>
      <c r="L169" s="145">
        <v>5537.0308116822962</v>
      </c>
      <c r="M169" s="145">
        <v>5852.8442777704067</v>
      </c>
      <c r="N169" s="145">
        <v>1284.4274741009151</v>
      </c>
      <c r="O169" s="145">
        <v>1310.0701557027846</v>
      </c>
      <c r="P169" s="145">
        <v>1328.887394803751</v>
      </c>
      <c r="Q169" s="145">
        <v>1404.6826266648977</v>
      </c>
    </row>
    <row r="170" spans="1:17" ht="14.5" x14ac:dyDescent="0.35">
      <c r="A170" s="154" t="s">
        <v>1</v>
      </c>
      <c r="B170" s="145">
        <v>614618</v>
      </c>
      <c r="C170" s="145">
        <v>615772</v>
      </c>
      <c r="D170" s="145">
        <v>616925</v>
      </c>
      <c r="E170" s="145">
        <v>625000</v>
      </c>
      <c r="F170" s="145">
        <v>17476089.690851513</v>
      </c>
      <c r="G170" s="145">
        <v>18367370.265084941</v>
      </c>
      <c r="H170" s="145">
        <v>19065330.335158169</v>
      </c>
      <c r="I170" s="145">
        <v>23069049.705541383</v>
      </c>
      <c r="J170" s="145">
        <v>479805.44818789844</v>
      </c>
      <c r="K170" s="145">
        <v>486810.05364355963</v>
      </c>
      <c r="L170" s="145">
        <v>491111.92575680139</v>
      </c>
      <c r="M170" s="145">
        <v>495705.50030118669</v>
      </c>
      <c r="N170" s="145">
        <v>115153.30756509562</v>
      </c>
      <c r="O170" s="145">
        <v>116834.41287445431</v>
      </c>
      <c r="P170" s="145">
        <v>117866.86218163234</v>
      </c>
      <c r="Q170" s="145">
        <v>118969.3200722848</v>
      </c>
    </row>
    <row r="171" spans="1:17" ht="14.5" x14ac:dyDescent="0.35">
      <c r="A171" s="154" t="s">
        <v>89</v>
      </c>
      <c r="B171" s="145">
        <v>28462</v>
      </c>
      <c r="C171" s="145">
        <v>28411</v>
      </c>
      <c r="D171" s="145">
        <v>28360</v>
      </c>
      <c r="E171" s="145">
        <v>28000</v>
      </c>
      <c r="F171" s="145">
        <v>369240.93675268046</v>
      </c>
      <c r="G171" s="145">
        <v>388575.43687936303</v>
      </c>
      <c r="H171" s="145">
        <v>403866.88024942565</v>
      </c>
      <c r="I171" s="145">
        <v>493209.2238639982</v>
      </c>
      <c r="J171" s="145">
        <v>10137.497362506787</v>
      </c>
      <c r="K171" s="145">
        <v>10298.830292074887</v>
      </c>
      <c r="L171" s="145">
        <v>10403.378164548412</v>
      </c>
      <c r="M171" s="145">
        <v>10598.031916760554</v>
      </c>
      <c r="N171" s="145">
        <v>2432.9993670016293</v>
      </c>
      <c r="O171" s="145">
        <v>2471.7192700979726</v>
      </c>
      <c r="P171" s="145">
        <v>2496.8107594916191</v>
      </c>
      <c r="Q171" s="145">
        <v>2543.5276600225329</v>
      </c>
    </row>
    <row r="172" spans="1:17" ht="14.5" x14ac:dyDescent="0.35">
      <c r="A172" s="154" t="s">
        <v>96</v>
      </c>
      <c r="B172" s="145">
        <v>22868</v>
      </c>
      <c r="C172" s="145">
        <v>23017</v>
      </c>
      <c r="D172" s="145">
        <v>23165</v>
      </c>
      <c r="E172" s="145">
        <v>24205</v>
      </c>
      <c r="F172" s="145">
        <v>296669.30439393915</v>
      </c>
      <c r="G172" s="145">
        <v>314802.0425417021</v>
      </c>
      <c r="H172" s="145">
        <v>329886.32866635913</v>
      </c>
      <c r="I172" s="145">
        <v>426361.75941528846</v>
      </c>
      <c r="J172" s="145">
        <v>8145.0456638959049</v>
      </c>
      <c r="K172" s="145">
        <v>8343.535138949268</v>
      </c>
      <c r="L172" s="145">
        <v>8497.6817765078958</v>
      </c>
      <c r="M172" s="145">
        <v>9161.6200908996143</v>
      </c>
      <c r="N172" s="145">
        <v>1954.8109593350173</v>
      </c>
      <c r="O172" s="145">
        <v>2002.4484333478244</v>
      </c>
      <c r="P172" s="145">
        <v>2039.443626361895</v>
      </c>
      <c r="Q172" s="145">
        <v>2198.7888218159073</v>
      </c>
    </row>
    <row r="173" spans="1:17" ht="14.5" x14ac:dyDescent="0.35">
      <c r="A173" s="154" t="s">
        <v>97</v>
      </c>
      <c r="B173" s="145">
        <v>27110</v>
      </c>
      <c r="C173" s="145">
        <v>26552</v>
      </c>
      <c r="D173" s="145">
        <v>25994</v>
      </c>
      <c r="E173" s="145">
        <v>22089</v>
      </c>
      <c r="F173" s="145">
        <v>259745.39487400628</v>
      </c>
      <c r="G173" s="145">
        <v>272228.40014502569</v>
      </c>
      <c r="H173" s="145">
        <v>281748.53525657777</v>
      </c>
      <c r="I173" s="145">
        <v>332810.5993809927</v>
      </c>
      <c r="J173" s="145">
        <v>7131.3009836236897</v>
      </c>
      <c r="K173" s="145">
        <v>7215.1603721855672</v>
      </c>
      <c r="L173" s="145">
        <v>7257.6799508083641</v>
      </c>
      <c r="M173" s="145">
        <v>7151.4018469544562</v>
      </c>
      <c r="N173" s="145">
        <v>1711.5122360696855</v>
      </c>
      <c r="O173" s="145">
        <v>1731.6384893245363</v>
      </c>
      <c r="P173" s="145">
        <v>1741.8431881940073</v>
      </c>
      <c r="Q173" s="145">
        <v>1716.3364432690694</v>
      </c>
    </row>
    <row r="174" spans="1:17" ht="14.5" x14ac:dyDescent="0.35">
      <c r="A174" s="154" t="s">
        <v>98</v>
      </c>
      <c r="B174" s="145">
        <v>9230</v>
      </c>
      <c r="C174" s="145">
        <v>9086</v>
      </c>
      <c r="D174" s="145">
        <v>8943</v>
      </c>
      <c r="E174" s="145">
        <v>7937</v>
      </c>
      <c r="F174" s="145">
        <v>119741.89607993957</v>
      </c>
      <c r="G174" s="145">
        <v>124268.6431130862</v>
      </c>
      <c r="H174" s="145">
        <v>127354.77821123462</v>
      </c>
      <c r="I174" s="145">
        <v>139807.2003503055</v>
      </c>
      <c r="J174" s="145">
        <v>3287.5096850515652</v>
      </c>
      <c r="K174" s="145">
        <v>3293.6247240080397</v>
      </c>
      <c r="L174" s="145">
        <v>3280.5857166980413</v>
      </c>
      <c r="M174" s="145">
        <v>3004.1635472617331</v>
      </c>
      <c r="N174" s="145">
        <v>789.00232441237563</v>
      </c>
      <c r="O174" s="145">
        <v>790.4699337619295</v>
      </c>
      <c r="P174" s="145">
        <v>787.34057200752977</v>
      </c>
      <c r="Q174" s="145">
        <v>720.99925134281591</v>
      </c>
    </row>
    <row r="175" spans="1:17" ht="14.5" x14ac:dyDescent="0.35">
      <c r="A175" s="154" t="s">
        <v>100</v>
      </c>
      <c r="B175" s="145">
        <v>33860</v>
      </c>
      <c r="C175" s="145">
        <v>33709</v>
      </c>
      <c r="D175" s="145">
        <v>33557</v>
      </c>
      <c r="E175" s="145">
        <v>32495</v>
      </c>
      <c r="F175" s="145">
        <v>439269.83762370032</v>
      </c>
      <c r="G175" s="145">
        <v>461035.84533337253</v>
      </c>
      <c r="H175" s="145">
        <v>477875.91327679751</v>
      </c>
      <c r="I175" s="145">
        <v>572386.91890930803</v>
      </c>
      <c r="J175" s="145">
        <v>12060.138454587866</v>
      </c>
      <c r="K175" s="145">
        <v>12219.325976401828</v>
      </c>
      <c r="L175" s="145">
        <v>12309.808218185863</v>
      </c>
      <c r="M175" s="145">
        <v>12299.394540540508</v>
      </c>
      <c r="N175" s="145">
        <v>2894.4332291010878</v>
      </c>
      <c r="O175" s="145">
        <v>2932.6382343364389</v>
      </c>
      <c r="P175" s="145">
        <v>2954.3539723646072</v>
      </c>
      <c r="Q175" s="145">
        <v>2951.8546897297219</v>
      </c>
    </row>
    <row r="176" spans="1:17" ht="14.5" x14ac:dyDescent="0.35">
      <c r="A176" s="154" t="s">
        <v>103</v>
      </c>
      <c r="B176" s="145">
        <v>18155</v>
      </c>
      <c r="C176" s="145">
        <v>17767</v>
      </c>
      <c r="D176" s="145">
        <v>17378</v>
      </c>
      <c r="E176" s="145">
        <v>14660</v>
      </c>
      <c r="F176" s="145">
        <v>171442.89196852691</v>
      </c>
      <c r="G176" s="145">
        <v>180516.94088819236</v>
      </c>
      <c r="H176" s="145">
        <v>187723.00980558488</v>
      </c>
      <c r="I176" s="145">
        <v>230846.08250375054</v>
      </c>
      <c r="J176" s="145">
        <v>4706.9587690803655</v>
      </c>
      <c r="K176" s="145">
        <v>4784.4335040384631</v>
      </c>
      <c r="L176" s="145">
        <v>4835.6365839867758</v>
      </c>
      <c r="M176" s="145">
        <v>4960.3982080199521</v>
      </c>
      <c r="N176" s="145">
        <v>1129.6701045792877</v>
      </c>
      <c r="O176" s="145">
        <v>1148.264040969231</v>
      </c>
      <c r="P176" s="145">
        <v>1160.5527801568262</v>
      </c>
      <c r="Q176" s="145">
        <v>1190.4955699247887</v>
      </c>
    </row>
    <row r="177" spans="1:17" ht="14.5" x14ac:dyDescent="0.35">
      <c r="A177" s="154" t="s">
        <v>106</v>
      </c>
      <c r="B177" s="145">
        <v>35699</v>
      </c>
      <c r="C177" s="145">
        <v>35066</v>
      </c>
      <c r="D177" s="145">
        <v>34432</v>
      </c>
      <c r="E177" s="145">
        <v>29994</v>
      </c>
      <c r="F177" s="145">
        <v>342038.02477341017</v>
      </c>
      <c r="G177" s="145">
        <v>359519.4742198505</v>
      </c>
      <c r="H177" s="145">
        <v>373207.8774315028</v>
      </c>
      <c r="I177" s="145">
        <v>451913.67277076794</v>
      </c>
      <c r="J177" s="145">
        <v>9390.6423391509452</v>
      </c>
      <c r="K177" s="145">
        <v>9528.7290453095466</v>
      </c>
      <c r="L177" s="145">
        <v>9613.6199148354845</v>
      </c>
      <c r="M177" s="145">
        <v>9710.6771242497143</v>
      </c>
      <c r="N177" s="145">
        <v>2253.7541613962271</v>
      </c>
      <c r="O177" s="145">
        <v>2286.8949708742912</v>
      </c>
      <c r="P177" s="145">
        <v>2307.2687795605161</v>
      </c>
      <c r="Q177" s="145">
        <v>2330.5625098199316</v>
      </c>
    </row>
    <row r="178" spans="1:17" ht="14.5" x14ac:dyDescent="0.35">
      <c r="A178" s="154" t="s">
        <v>108</v>
      </c>
      <c r="B178" s="145">
        <v>44411</v>
      </c>
      <c r="C178" s="145">
        <v>43702</v>
      </c>
      <c r="D178" s="145">
        <v>42994</v>
      </c>
      <c r="E178" s="145">
        <v>38032</v>
      </c>
      <c r="F178" s="145">
        <v>576149.22500608838</v>
      </c>
      <c r="G178" s="145">
        <v>597709.46965970658</v>
      </c>
      <c r="H178" s="145">
        <v>612265.60823144601</v>
      </c>
      <c r="I178" s="145">
        <v>669919.0429284136</v>
      </c>
      <c r="J178" s="145">
        <v>15818.157380587763</v>
      </c>
      <c r="K178" s="145">
        <v>15841.733181664027</v>
      </c>
      <c r="L178" s="145">
        <v>15771.609337327023</v>
      </c>
      <c r="M178" s="145">
        <v>14395.155352079906</v>
      </c>
      <c r="N178" s="145">
        <v>3796.3577713410637</v>
      </c>
      <c r="O178" s="145">
        <v>3802.0159635993668</v>
      </c>
      <c r="P178" s="145">
        <v>3785.1862409584855</v>
      </c>
      <c r="Q178" s="145">
        <v>3454.8372844991777</v>
      </c>
    </row>
    <row r="179" spans="1:17" ht="14.5" x14ac:dyDescent="0.35">
      <c r="A179" s="154" t="s">
        <v>110</v>
      </c>
      <c r="B179" s="145">
        <v>7596</v>
      </c>
      <c r="C179" s="145">
        <v>7345</v>
      </c>
      <c r="D179" s="145">
        <v>7094</v>
      </c>
      <c r="E179" s="145">
        <v>5339</v>
      </c>
      <c r="F179" s="145">
        <v>71731.214948660447</v>
      </c>
      <c r="G179" s="145">
        <v>74626.944944209652</v>
      </c>
      <c r="H179" s="145">
        <v>76631.777624629933</v>
      </c>
      <c r="I179" s="145">
        <v>84071.434821795643</v>
      </c>
      <c r="J179" s="145">
        <v>1969.3780671955085</v>
      </c>
      <c r="K179" s="145">
        <v>1977.9177175191371</v>
      </c>
      <c r="L179" s="145">
        <v>1973.990443480388</v>
      </c>
      <c r="M179" s="145">
        <v>1806.5188289644288</v>
      </c>
      <c r="N179" s="145">
        <v>472.65073612692203</v>
      </c>
      <c r="O179" s="145">
        <v>474.70025220459291</v>
      </c>
      <c r="P179" s="145">
        <v>473.75770643529313</v>
      </c>
      <c r="Q179" s="145">
        <v>433.5645189514629</v>
      </c>
    </row>
    <row r="180" spans="1:17" ht="14.5" x14ac:dyDescent="0.35">
      <c r="A180" s="154" t="s">
        <v>442</v>
      </c>
      <c r="B180" s="145">
        <v>51370</v>
      </c>
      <c r="C180" s="145">
        <v>50771</v>
      </c>
      <c r="D180" s="145">
        <v>50174</v>
      </c>
      <c r="E180" s="145">
        <v>45985</v>
      </c>
      <c r="F180" s="145">
        <v>684422.98120794341</v>
      </c>
      <c r="G180" s="145">
        <v>719895.56705911912</v>
      </c>
      <c r="H180" s="145">
        <v>747886.51355202484</v>
      </c>
      <c r="I180" s="145">
        <v>911392.43706280657</v>
      </c>
      <c r="J180" s="145">
        <v>18790.809675260614</v>
      </c>
      <c r="K180" s="145">
        <v>19080.161969838198</v>
      </c>
      <c r="L180" s="145">
        <v>19265.125726185219</v>
      </c>
      <c r="M180" s="145">
        <v>19583.912200614595</v>
      </c>
      <c r="N180" s="145">
        <v>4509.7943220625466</v>
      </c>
      <c r="O180" s="145">
        <v>4579.2388727611669</v>
      </c>
      <c r="P180" s="145">
        <v>4623.6301742844535</v>
      </c>
      <c r="Q180" s="145">
        <v>4700.1389281475012</v>
      </c>
    </row>
    <row r="181" spans="1:17" ht="14.5" x14ac:dyDescent="0.35">
      <c r="A181" s="154" t="s">
        <v>111</v>
      </c>
      <c r="B181" s="145">
        <v>2945</v>
      </c>
      <c r="C181" s="145">
        <v>2880</v>
      </c>
      <c r="D181" s="145">
        <v>2815</v>
      </c>
      <c r="E181" s="145">
        <v>2362</v>
      </c>
      <c r="F181" s="145">
        <v>27810.482888863218</v>
      </c>
      <c r="G181" s="145">
        <v>29261.48419868261</v>
      </c>
      <c r="H181" s="145">
        <v>30408.578237007794</v>
      </c>
      <c r="I181" s="145">
        <v>37193.618477070857</v>
      </c>
      <c r="J181" s="145">
        <v>763.53586201826909</v>
      </c>
      <c r="K181" s="145">
        <v>775.54840387407955</v>
      </c>
      <c r="L181" s="145">
        <v>783.30745677999619</v>
      </c>
      <c r="M181" s="145">
        <v>799.21286271099098</v>
      </c>
      <c r="N181" s="145">
        <v>183.2486068843846</v>
      </c>
      <c r="O181" s="145">
        <v>186.13161692977911</v>
      </c>
      <c r="P181" s="145">
        <v>187.99378962719911</v>
      </c>
      <c r="Q181" s="145">
        <v>191.81108705063784</v>
      </c>
    </row>
    <row r="182" spans="1:17" ht="14.5" x14ac:dyDescent="0.35">
      <c r="A182" s="154" t="s">
        <v>9</v>
      </c>
      <c r="B182" s="145">
        <v>33372</v>
      </c>
      <c r="C182" s="145">
        <v>32851</v>
      </c>
      <c r="D182" s="145">
        <v>32329</v>
      </c>
      <c r="E182" s="145">
        <v>28680</v>
      </c>
      <c r="F182" s="145">
        <v>501127.82880555547</v>
      </c>
      <c r="G182" s="145">
        <v>526685.34807463875</v>
      </c>
      <c r="H182" s="145">
        <v>546699.391301475</v>
      </c>
      <c r="I182" s="145">
        <v>661506.26347478468</v>
      </c>
      <c r="J182" s="145">
        <v>13758.447499004709</v>
      </c>
      <c r="K182" s="145">
        <v>13959.304943989817</v>
      </c>
      <c r="L182" s="145">
        <v>14082.661362390239</v>
      </c>
      <c r="M182" s="145">
        <v>14214.382363976156</v>
      </c>
      <c r="N182" s="145">
        <v>3302.0273997611303</v>
      </c>
      <c r="O182" s="145">
        <v>3350.2331865575566</v>
      </c>
      <c r="P182" s="145">
        <v>3379.8387269736577</v>
      </c>
      <c r="Q182" s="145">
        <v>3411.4517673542773</v>
      </c>
    </row>
    <row r="183" spans="1:17" ht="14.5" x14ac:dyDescent="0.35">
      <c r="A183" s="154" t="s">
        <v>115</v>
      </c>
      <c r="B183" s="145">
        <v>10777</v>
      </c>
      <c r="C183" s="145">
        <v>10610</v>
      </c>
      <c r="D183" s="145">
        <v>10443</v>
      </c>
      <c r="E183" s="145">
        <v>9272</v>
      </c>
      <c r="F183" s="145">
        <v>103256.21986562765</v>
      </c>
      <c r="G183" s="145">
        <v>108780.63142282021</v>
      </c>
      <c r="H183" s="145">
        <v>113191.50395031321</v>
      </c>
      <c r="I183" s="145">
        <v>139699.39234282059</v>
      </c>
      <c r="J183" s="145">
        <v>2834.8960051830509</v>
      </c>
      <c r="K183" s="145">
        <v>2883.1293894580017</v>
      </c>
      <c r="L183" s="145">
        <v>2915.7479313030603</v>
      </c>
      <c r="M183" s="145">
        <v>3001.8469792639644</v>
      </c>
      <c r="N183" s="145">
        <v>680.37504124393229</v>
      </c>
      <c r="O183" s="145">
        <v>691.95105346992034</v>
      </c>
      <c r="P183" s="145">
        <v>699.77950351273444</v>
      </c>
      <c r="Q183" s="145">
        <v>720.44327502335148</v>
      </c>
    </row>
    <row r="184" spans="1:17" ht="14.5" x14ac:dyDescent="0.35">
      <c r="A184" s="154" t="s">
        <v>317</v>
      </c>
      <c r="B184" s="145">
        <v>1893223</v>
      </c>
      <c r="C184" s="145">
        <v>1876426</v>
      </c>
      <c r="D184" s="145">
        <v>1859631</v>
      </c>
      <c r="E184" s="145">
        <v>1742028</v>
      </c>
      <c r="F184" s="145">
        <v>31021103.526241113</v>
      </c>
      <c r="G184" s="145">
        <v>32603179.80607941</v>
      </c>
      <c r="H184" s="145">
        <v>33842100.638710432</v>
      </c>
      <c r="I184" s="145">
        <v>40948941.772839621</v>
      </c>
      <c r="J184" s="145">
        <v>851683.34244032437</v>
      </c>
      <c r="K184" s="145">
        <v>864116.93570085173</v>
      </c>
      <c r="L184" s="145">
        <v>871753.01577037585</v>
      </c>
      <c r="M184" s="145">
        <v>879906.8850865463</v>
      </c>
      <c r="N184" s="145">
        <v>204404.00218567793</v>
      </c>
      <c r="O184" s="145">
        <v>207388.06456820443</v>
      </c>
      <c r="P184" s="145">
        <v>209220.72378489008</v>
      </c>
      <c r="Q184" s="145">
        <v>211177.65242077105</v>
      </c>
    </row>
    <row r="185" spans="1:17" ht="14.5" x14ac:dyDescent="0.35">
      <c r="A185" s="4"/>
      <c r="B185" s="4"/>
      <c r="C185" s="4"/>
      <c r="D185" s="4"/>
      <c r="E185" s="4"/>
      <c r="F185" s="4"/>
      <c r="G185" s="4"/>
      <c r="H185" s="4"/>
      <c r="I185" s="4"/>
      <c r="J185" s="4"/>
      <c r="K185" s="4"/>
      <c r="L185" s="4"/>
      <c r="M185" s="4"/>
      <c r="N185" s="4"/>
      <c r="O185" s="4"/>
      <c r="P185" s="4"/>
      <c r="Q185" s="4"/>
    </row>
    <row r="188" spans="1:17" ht="14.5" x14ac:dyDescent="0.35">
      <c r="A188" s="153" t="s">
        <v>316</v>
      </c>
      <c r="B188" t="s">
        <v>453</v>
      </c>
      <c r="C188" t="s">
        <v>454</v>
      </c>
      <c r="D188" t="s">
        <v>455</v>
      </c>
      <c r="E188" t="s">
        <v>489</v>
      </c>
      <c r="F188" t="s">
        <v>490</v>
      </c>
      <c r="G188" t="s">
        <v>491</v>
      </c>
      <c r="H188" t="s">
        <v>492</v>
      </c>
      <c r="I188" t="s">
        <v>493</v>
      </c>
      <c r="J188" t="s">
        <v>456</v>
      </c>
      <c r="K188" t="s">
        <v>457</v>
      </c>
      <c r="L188" t="s">
        <v>458</v>
      </c>
      <c r="M188" t="s">
        <v>494</v>
      </c>
      <c r="N188" t="s">
        <v>459</v>
      </c>
      <c r="O188" t="s">
        <v>460</v>
      </c>
      <c r="P188" t="s">
        <v>461</v>
      </c>
      <c r="Q188" t="s">
        <v>495</v>
      </c>
    </row>
    <row r="189" spans="1:17" ht="14.5" x14ac:dyDescent="0.35">
      <c r="A189" s="154" t="s">
        <v>176</v>
      </c>
      <c r="B189" s="145">
        <v>128438</v>
      </c>
      <c r="C189" s="145">
        <v>126090</v>
      </c>
      <c r="D189" s="145">
        <v>123742</v>
      </c>
      <c r="E189" s="145">
        <v>107301</v>
      </c>
      <c r="F189" s="145">
        <v>1535941.6638039346</v>
      </c>
      <c r="G189" s="145">
        <v>1613449.3271545584</v>
      </c>
      <c r="H189" s="145">
        <v>1673856.2960405622</v>
      </c>
      <c r="I189" s="145">
        <v>2016505.8037370911</v>
      </c>
      <c r="J189" s="145">
        <v>42169.226150040748</v>
      </c>
      <c r="K189" s="145">
        <v>42762.972715606855</v>
      </c>
      <c r="L189" s="145">
        <v>43117.573865095423</v>
      </c>
      <c r="M189" s="145">
        <v>43330.480928376965</v>
      </c>
      <c r="N189" s="145">
        <v>10120.614276009781</v>
      </c>
      <c r="O189" s="145">
        <v>10263.113451745645</v>
      </c>
      <c r="P189" s="145">
        <v>10348.217727622903</v>
      </c>
      <c r="Q189" s="145">
        <v>10399.315422810472</v>
      </c>
    </row>
    <row r="190" spans="1:17" ht="14.5" x14ac:dyDescent="0.35">
      <c r="A190" s="154" t="s">
        <v>437</v>
      </c>
      <c r="B190" s="145">
        <v>277188</v>
      </c>
      <c r="C190" s="145">
        <v>271430</v>
      </c>
      <c r="D190" s="145">
        <v>265673</v>
      </c>
      <c r="E190" s="145">
        <v>225369</v>
      </c>
      <c r="F190" s="145">
        <v>2309519.1817073133</v>
      </c>
      <c r="G190" s="145">
        <v>2426974.0352366185</v>
      </c>
      <c r="H190" s="145">
        <v>2518857.0308188908</v>
      </c>
      <c r="I190" s="145">
        <v>3044584.5961754136</v>
      </c>
      <c r="J190" s="145">
        <v>63407.77059857452</v>
      </c>
      <c r="K190" s="145">
        <v>64324.687923941121</v>
      </c>
      <c r="L190" s="145">
        <v>64884.30598185394</v>
      </c>
      <c r="M190" s="145">
        <v>65421.738204235298</v>
      </c>
      <c r="N190" s="145">
        <v>15217.864943657885</v>
      </c>
      <c r="O190" s="145">
        <v>15437.925101745865</v>
      </c>
      <c r="P190" s="145">
        <v>15572.233435644939</v>
      </c>
      <c r="Q190" s="145">
        <v>15701.217169016474</v>
      </c>
    </row>
    <row r="191" spans="1:17" ht="14.5" x14ac:dyDescent="0.35">
      <c r="A191" s="154" t="s">
        <v>438</v>
      </c>
      <c r="B191" s="145">
        <v>1048109</v>
      </c>
      <c r="C191" s="145">
        <v>1047089</v>
      </c>
      <c r="D191" s="145">
        <v>1046064</v>
      </c>
      <c r="E191" s="145">
        <v>1038896</v>
      </c>
      <c r="F191" s="145">
        <v>22419698.782231353</v>
      </c>
      <c r="G191" s="145">
        <v>23578978.072754662</v>
      </c>
      <c r="H191" s="145">
        <v>24491519.565952044</v>
      </c>
      <c r="I191" s="145">
        <v>29779274.824406702</v>
      </c>
      <c r="J191" s="145">
        <v>615532.06768430513</v>
      </c>
      <c r="K191" s="145">
        <v>624938.86793787719</v>
      </c>
      <c r="L191" s="145">
        <v>630887.43427457113</v>
      </c>
      <c r="M191" s="145">
        <v>639894.16616034938</v>
      </c>
      <c r="N191" s="145">
        <v>147727.69624423311</v>
      </c>
      <c r="O191" s="145">
        <v>149985.32830509054</v>
      </c>
      <c r="P191" s="145">
        <v>151412.98422589712</v>
      </c>
      <c r="Q191" s="145">
        <v>153574.59987848389</v>
      </c>
    </row>
    <row r="192" spans="1:17" ht="14.5" x14ac:dyDescent="0.35">
      <c r="A192" s="154" t="s">
        <v>439</v>
      </c>
      <c r="B192" s="145">
        <v>237245</v>
      </c>
      <c r="C192" s="145">
        <v>232474</v>
      </c>
      <c r="D192" s="145">
        <v>227707</v>
      </c>
      <c r="E192" s="145">
        <v>194321</v>
      </c>
      <c r="F192" s="145">
        <v>2518513.6940936111</v>
      </c>
      <c r="G192" s="145">
        <v>2639237.2304223422</v>
      </c>
      <c r="H192" s="145">
        <v>2731486.7577777226</v>
      </c>
      <c r="I192" s="145">
        <v>3234717.5814534016</v>
      </c>
      <c r="J192" s="145">
        <v>69145.707829281921</v>
      </c>
      <c r="K192" s="145">
        <v>69950.526350650587</v>
      </c>
      <c r="L192" s="145">
        <v>70361.525250765568</v>
      </c>
      <c r="M192" s="145">
        <v>69507.297331898182</v>
      </c>
      <c r="N192" s="145">
        <v>16594.969879027663</v>
      </c>
      <c r="O192" s="145">
        <v>16788.126324156139</v>
      </c>
      <c r="P192" s="145">
        <v>16886.766060183742</v>
      </c>
      <c r="Q192" s="145">
        <v>16681.751359655565</v>
      </c>
    </row>
    <row r="193" spans="1:17" ht="14.5" x14ac:dyDescent="0.35">
      <c r="A193" s="154" t="s">
        <v>440</v>
      </c>
      <c r="B193" s="145">
        <v>202243</v>
      </c>
      <c r="C193" s="145">
        <v>199343</v>
      </c>
      <c r="D193" s="145">
        <v>196445</v>
      </c>
      <c r="E193" s="145">
        <v>176141</v>
      </c>
      <c r="F193" s="145">
        <v>2237430.2044049031</v>
      </c>
      <c r="G193" s="145">
        <v>2344541.1405112366</v>
      </c>
      <c r="H193" s="145">
        <v>2426380.9881212045</v>
      </c>
      <c r="I193" s="145">
        <v>2873858.9670670112</v>
      </c>
      <c r="J193" s="145">
        <v>61428.570178122522</v>
      </c>
      <c r="K193" s="145">
        <v>62139.880772775912</v>
      </c>
      <c r="L193" s="145">
        <v>62502.176398089119</v>
      </c>
      <c r="M193" s="145">
        <v>61753.2024616864</v>
      </c>
      <c r="N193" s="145">
        <v>14742.856842749406</v>
      </c>
      <c r="O193" s="145">
        <v>14913.571385466219</v>
      </c>
      <c r="P193" s="145">
        <v>15000.522335541385</v>
      </c>
      <c r="Q193" s="145">
        <v>14820.768590804733</v>
      </c>
    </row>
    <row r="194" spans="1:17" ht="14.5" x14ac:dyDescent="0.35">
      <c r="A194" s="154" t="s">
        <v>317</v>
      </c>
      <c r="B194" s="145">
        <v>1893223</v>
      </c>
      <c r="C194" s="145">
        <v>1876426</v>
      </c>
      <c r="D194" s="145">
        <v>1859631</v>
      </c>
      <c r="E194" s="145">
        <v>1742028</v>
      </c>
      <c r="F194" s="145">
        <v>31021103.526241113</v>
      </c>
      <c r="G194" s="145">
        <v>32603179.806079417</v>
      </c>
      <c r="H194" s="145">
        <v>33842100.638710424</v>
      </c>
      <c r="I194" s="145">
        <v>40948941.772839613</v>
      </c>
      <c r="J194" s="145">
        <v>851683.34244032484</v>
      </c>
      <c r="K194" s="145">
        <v>864116.93570085173</v>
      </c>
      <c r="L194" s="145">
        <v>871753.01577037526</v>
      </c>
      <c r="M194" s="145">
        <v>879906.88508654619</v>
      </c>
      <c r="N194" s="145">
        <v>204404.00218567785</v>
      </c>
      <c r="O194" s="145">
        <v>207388.06456820443</v>
      </c>
      <c r="P194" s="145">
        <v>209220.72378489008</v>
      </c>
      <c r="Q194" s="145">
        <v>211177.65242077116</v>
      </c>
    </row>
    <row r="195" spans="1:17" ht="14.5" x14ac:dyDescent="0.35">
      <c r="A195" s="4"/>
      <c r="B195" s="4"/>
      <c r="C195" s="4"/>
      <c r="D195" s="4"/>
      <c r="E195" s="4"/>
      <c r="F195" s="4"/>
      <c r="G195" s="4"/>
      <c r="H195" s="4"/>
      <c r="I195" s="4"/>
      <c r="J195" s="4"/>
      <c r="K195" s="4"/>
      <c r="L195" s="4"/>
      <c r="M195" s="4"/>
      <c r="N195" s="4"/>
      <c r="O195" s="4"/>
      <c r="P195" s="4"/>
      <c r="Q195" s="4"/>
    </row>
    <row r="196" spans="1:17" ht="14.5" x14ac:dyDescent="0.35">
      <c r="A196" s="4"/>
      <c r="B196" s="4"/>
      <c r="C196" s="4"/>
      <c r="D196" s="4"/>
      <c r="E196" s="4"/>
      <c r="F196" s="4"/>
      <c r="G196" s="4"/>
      <c r="H196" s="4"/>
      <c r="I196" s="4"/>
      <c r="J196" s="4"/>
      <c r="K196" s="4"/>
      <c r="L196" s="4"/>
      <c r="M196" s="4"/>
      <c r="N196" s="4"/>
      <c r="O196" s="4"/>
      <c r="P196" s="4"/>
      <c r="Q196" s="4"/>
    </row>
    <row r="197" spans="1:17" s="4" customFormat="1" ht="66" customHeight="1" x14ac:dyDescent="0.35">
      <c r="B197" s="265" t="s">
        <v>529</v>
      </c>
      <c r="C197" s="266"/>
      <c r="D197" s="267"/>
    </row>
    <row r="198" spans="1:17" s="4" customFormat="1" ht="14.5" x14ac:dyDescent="0.35">
      <c r="B198" s="189" t="s">
        <v>433</v>
      </c>
      <c r="C198" s="189" t="s">
        <v>434</v>
      </c>
      <c r="D198" s="189" t="s">
        <v>463</v>
      </c>
    </row>
    <row r="199" spans="1:17" s="4" customFormat="1" ht="14.5" x14ac:dyDescent="0.35">
      <c r="B199" s="3" t="s">
        <v>432</v>
      </c>
      <c r="C199" s="188" t="s">
        <v>1</v>
      </c>
      <c r="D199" s="85"/>
    </row>
    <row r="200" spans="1:17" s="4" customFormat="1" ht="14.5" x14ac:dyDescent="0.35">
      <c r="B200" s="3" t="s">
        <v>432</v>
      </c>
      <c r="C200" s="188" t="s">
        <v>11</v>
      </c>
      <c r="D200" s="85">
        <f>VLOOKUP(C200,Aprēķins_2030!$A$141:$Q$183,17,FALSE)</f>
        <v>1698.7570532561961</v>
      </c>
    </row>
    <row r="201" spans="1:17" s="4" customFormat="1" ht="14.5" x14ac:dyDescent="0.35">
      <c r="B201" s="3" t="s">
        <v>432</v>
      </c>
      <c r="C201" s="188" t="s">
        <v>16</v>
      </c>
      <c r="D201" s="85">
        <f>VLOOKUP(C201,Aprēķins_2030!$A$141:$Q$183,17,FALSE)</f>
        <v>810.36529960978601</v>
      </c>
    </row>
    <row r="202" spans="1:17" s="4" customFormat="1" ht="14.5" x14ac:dyDescent="0.35">
      <c r="B202" s="3" t="s">
        <v>432</v>
      </c>
      <c r="C202" s="188" t="s">
        <v>443</v>
      </c>
      <c r="D202" s="85">
        <f>VLOOKUP(C202,Aprēķins_2030!$A$141:$Q$183,17,FALSE)</f>
        <v>1090.6064686343939</v>
      </c>
    </row>
    <row r="203" spans="1:17" s="4" customFormat="1" ht="14.5" x14ac:dyDescent="0.35">
      <c r="B203" s="3" t="s">
        <v>432</v>
      </c>
      <c r="C203" s="188" t="s">
        <v>20</v>
      </c>
      <c r="D203" s="85">
        <f>VLOOKUP(C203,Aprēķins_2030!$A$141:$Q$183,17,FALSE)</f>
        <v>2088.4178894256438</v>
      </c>
    </row>
    <row r="204" spans="1:17" s="4" customFormat="1" ht="14.5" x14ac:dyDescent="0.35">
      <c r="B204" s="3" t="s">
        <v>432</v>
      </c>
      <c r="C204" s="188" t="s">
        <v>24</v>
      </c>
      <c r="D204" s="85">
        <f>VLOOKUP(C204,Aprēķins_2030!$A$141:$Q$183,17,FALSE)</f>
        <v>842.48235456610632</v>
      </c>
    </row>
    <row r="205" spans="1:17" s="4" customFormat="1" ht="14.5" x14ac:dyDescent="0.35">
      <c r="B205" s="3" t="s">
        <v>432</v>
      </c>
      <c r="C205" s="188" t="s">
        <v>25</v>
      </c>
      <c r="D205" s="85">
        <f>VLOOKUP(C205,Aprēķins_2030!$A$141:$Q$183,17,FALSE)</f>
        <v>2435.9265402443998</v>
      </c>
    </row>
    <row r="206" spans="1:17" s="4" customFormat="1" ht="14.5" x14ac:dyDescent="0.35">
      <c r="B206" s="3" t="s">
        <v>432</v>
      </c>
      <c r="C206" s="188" t="s">
        <v>31</v>
      </c>
      <c r="D206" s="85">
        <f>VLOOKUP(C206,Aprēķins_2030!$A$141:$Q$183,17,FALSE)</f>
        <v>2655.8770541875997</v>
      </c>
    </row>
    <row r="207" spans="1:17" s="4" customFormat="1" ht="14.5" x14ac:dyDescent="0.35">
      <c r="B207" s="3" t="s">
        <v>432</v>
      </c>
      <c r="C207" s="188" t="s">
        <v>2</v>
      </c>
      <c r="D207" s="85">
        <f>VLOOKUP(C207,Aprēķins_2030!$A$141:$Q$183,17,FALSE)</f>
        <v>5029.8162561454974</v>
      </c>
    </row>
    <row r="208" spans="1:17" s="4" customFormat="1" ht="14.5" x14ac:dyDescent="0.35">
      <c r="B208" s="3" t="s">
        <v>432</v>
      </c>
      <c r="C208" s="188" t="s">
        <v>441</v>
      </c>
      <c r="D208" s="85">
        <f>VLOOKUP(C208,Aprēķins_2030!$A$141:$Q$183,17,FALSE)</f>
        <v>2171.3532485469755</v>
      </c>
    </row>
    <row r="209" spans="2:4" s="4" customFormat="1" ht="14.5" x14ac:dyDescent="0.35">
      <c r="B209" s="3" t="s">
        <v>432</v>
      </c>
      <c r="C209" s="188" t="s">
        <v>35</v>
      </c>
      <c r="D209" s="85">
        <f>VLOOKUP(C209,Aprēķins_2030!$A$141:$Q$183,17,FALSE)</f>
        <v>1595.3627364754866</v>
      </c>
    </row>
    <row r="210" spans="2:4" s="4" customFormat="1" ht="14.5" x14ac:dyDescent="0.35">
      <c r="B210" s="3" t="s">
        <v>432</v>
      </c>
      <c r="C210" s="188" t="s">
        <v>42</v>
      </c>
      <c r="D210" s="85">
        <f>VLOOKUP(C210,Aprēķins_2030!$A$141:$Q$183,17,FALSE)</f>
        <v>1279.7421341367492</v>
      </c>
    </row>
    <row r="211" spans="2:4" s="4" customFormat="1" ht="14.5" x14ac:dyDescent="0.35">
      <c r="B211" s="3" t="s">
        <v>432</v>
      </c>
      <c r="C211" s="188" t="s">
        <v>50</v>
      </c>
      <c r="D211" s="85">
        <f>VLOOKUP(C211,Aprēķins_2030!$A$141:$Q$183,17,FALSE)</f>
        <v>1948.1558529168403</v>
      </c>
    </row>
    <row r="212" spans="2:4" s="4" customFormat="1" ht="14.5" x14ac:dyDescent="0.35">
      <c r="B212" s="3" t="s">
        <v>432</v>
      </c>
      <c r="C212" s="188" t="s">
        <v>51</v>
      </c>
      <c r="D212" s="85">
        <f>VLOOKUP(C212,Aprēķins_2030!$A$141:$Q$183,17,FALSE)</f>
        <v>2770.2845002973258</v>
      </c>
    </row>
    <row r="213" spans="2:4" s="4" customFormat="1" ht="14.5" x14ac:dyDescent="0.35">
      <c r="B213" s="3" t="s">
        <v>432</v>
      </c>
      <c r="C213" s="188" t="s">
        <v>4</v>
      </c>
      <c r="D213" s="85">
        <f>VLOOKUP(C213,Aprēķins_2030!$A$141:$Q$183,17,FALSE)</f>
        <v>3057.3767123392522</v>
      </c>
    </row>
    <row r="214" spans="2:4" s="4" customFormat="1" ht="14.5" x14ac:dyDescent="0.35">
      <c r="B214" s="3" t="s">
        <v>432</v>
      </c>
      <c r="C214" s="188" t="s">
        <v>56</v>
      </c>
      <c r="D214" s="85">
        <f>VLOOKUP(C214,Aprēķins_2030!$A$141:$Q$183,17,FALSE)</f>
        <v>857.32015402039474</v>
      </c>
    </row>
    <row r="215" spans="2:4" s="4" customFormat="1" ht="14.5" x14ac:dyDescent="0.35">
      <c r="B215" s="3" t="s">
        <v>432</v>
      </c>
      <c r="C215" s="188" t="s">
        <v>59</v>
      </c>
      <c r="D215" s="85">
        <f>VLOOKUP(C215,Aprēķins_2030!$A$141:$Q$183,17,FALSE)</f>
        <v>1846.0970417687458</v>
      </c>
    </row>
    <row r="216" spans="2:4" s="4" customFormat="1" ht="14.5" x14ac:dyDescent="0.35">
      <c r="B216" s="3" t="s">
        <v>432</v>
      </c>
      <c r="C216" s="188" t="s">
        <v>61</v>
      </c>
      <c r="D216" s="85">
        <f>VLOOKUP(C216,Aprēķins_2030!$A$141:$Q$183,17,FALSE)</f>
        <v>2776.2604409145947</v>
      </c>
    </row>
    <row r="217" spans="2:4" s="4" customFormat="1" ht="14.5" x14ac:dyDescent="0.35">
      <c r="B217" s="3" t="s">
        <v>432</v>
      </c>
      <c r="C217" s="188" t="s">
        <v>6</v>
      </c>
      <c r="D217" s="85">
        <f>VLOOKUP(C217,Aprēķins_2030!$A$141:$Q$183,17,FALSE)</f>
        <v>6511.6257309944294</v>
      </c>
    </row>
    <row r="218" spans="2:4" s="4" customFormat="1" ht="14.5" x14ac:dyDescent="0.35">
      <c r="B218" s="3" t="s">
        <v>432</v>
      </c>
      <c r="C218" s="188" t="s">
        <v>63</v>
      </c>
      <c r="D218" s="85">
        <f>VLOOKUP(C218,Aprēķins_2030!$A$141:$Q$183,17,FALSE)</f>
        <v>2163.2702748491643</v>
      </c>
    </row>
    <row r="219" spans="2:4" s="4" customFormat="1" ht="14.5" x14ac:dyDescent="0.35">
      <c r="B219" s="3" t="s">
        <v>432</v>
      </c>
      <c r="C219" s="188" t="s">
        <v>65</v>
      </c>
      <c r="D219" s="85">
        <f>VLOOKUP(C219,Aprēķins_2030!$A$141:$Q$183,17,FALSE)</f>
        <v>487.27784747789872</v>
      </c>
    </row>
    <row r="220" spans="2:4" s="4" customFormat="1" ht="14.5" x14ac:dyDescent="0.35">
      <c r="B220" s="3" t="s">
        <v>432</v>
      </c>
      <c r="C220" s="188" t="s">
        <v>67</v>
      </c>
      <c r="D220" s="85">
        <f>VLOOKUP(C220,Aprēķins_2030!$A$141:$Q$183,17,FALSE)</f>
        <v>985.50068770915072</v>
      </c>
    </row>
    <row r="221" spans="2:4" s="4" customFormat="1" ht="14.5" x14ac:dyDescent="0.35">
      <c r="B221" s="3" t="s">
        <v>432</v>
      </c>
      <c r="C221" s="188" t="s">
        <v>68</v>
      </c>
      <c r="D221" s="85">
        <f>VLOOKUP(C221,Aprēķins_2030!$A$141:$Q$183,17,FALSE)</f>
        <v>1884.8159739395865</v>
      </c>
    </row>
    <row r="222" spans="2:4" s="4" customFormat="1" ht="14.5" x14ac:dyDescent="0.35">
      <c r="B222" s="3" t="s">
        <v>432</v>
      </c>
      <c r="C222" s="188" t="s">
        <v>71</v>
      </c>
      <c r="D222" s="85">
        <f>VLOOKUP(C222,Aprēķins_2030!$A$141:$Q$183,17,FALSE)</f>
        <v>3718.2740778586544</v>
      </c>
    </row>
    <row r="223" spans="2:4" s="4" customFormat="1" ht="14.5" x14ac:dyDescent="0.35">
      <c r="B223" s="3" t="s">
        <v>432</v>
      </c>
      <c r="C223" s="188" t="s">
        <v>76</v>
      </c>
      <c r="D223" s="85">
        <f>VLOOKUP(C223,Aprēķins_2030!$A$141:$Q$183,17,FALSE)</f>
        <v>4798.6374514532254</v>
      </c>
    </row>
    <row r="224" spans="2:4" s="4" customFormat="1" ht="14.5" x14ac:dyDescent="0.35">
      <c r="B224" s="3" t="s">
        <v>432</v>
      </c>
      <c r="C224" s="188" t="s">
        <v>77</v>
      </c>
      <c r="D224" s="85">
        <f>VLOOKUP(C224,Aprēķins_2030!$A$141:$Q$183,17,FALSE)</f>
        <v>1617.320230680042</v>
      </c>
    </row>
    <row r="225" spans="2:4" s="4" customFormat="1" ht="14.5" x14ac:dyDescent="0.35">
      <c r="B225" s="3" t="s">
        <v>432</v>
      </c>
      <c r="C225" s="188" t="s">
        <v>82</v>
      </c>
      <c r="D225" s="85">
        <f>VLOOKUP(C225,Aprēķins_2030!$A$141:$Q$183,17,FALSE)</f>
        <v>832.83496404639811</v>
      </c>
    </row>
    <row r="226" spans="2:4" s="4" customFormat="1" ht="14.5" x14ac:dyDescent="0.35">
      <c r="B226" s="3" t="s">
        <v>432</v>
      </c>
      <c r="C226" s="188" t="s">
        <v>7</v>
      </c>
      <c r="D226" s="85">
        <f>VLOOKUP(C226,Aprēķins_2030!$A$141:$Q$183,17,FALSE)</f>
        <v>2051.0825769698804</v>
      </c>
    </row>
    <row r="227" spans="2:4" s="4" customFormat="1" ht="14.5" x14ac:dyDescent="0.35">
      <c r="B227" s="3" t="s">
        <v>432</v>
      </c>
      <c r="C227" s="188" t="s">
        <v>86</v>
      </c>
      <c r="D227" s="85">
        <f>VLOOKUP(C227,Aprēķins_2030!$A$141:$Q$183,17,FALSE)</f>
        <v>1404.6826266648977</v>
      </c>
    </row>
    <row r="228" spans="2:4" s="4" customFormat="1" ht="14.5" x14ac:dyDescent="0.35">
      <c r="B228" s="3" t="s">
        <v>432</v>
      </c>
      <c r="C228" s="188" t="s">
        <v>89</v>
      </c>
      <c r="D228" s="85">
        <f>VLOOKUP(C228,Aprēķins_2030!$A$141:$Q$183,17,FALSE)</f>
        <v>2543.5276600225329</v>
      </c>
    </row>
    <row r="229" spans="2:4" s="4" customFormat="1" ht="14.5" x14ac:dyDescent="0.35">
      <c r="B229" s="3" t="s">
        <v>432</v>
      </c>
      <c r="C229" s="188" t="s">
        <v>96</v>
      </c>
      <c r="D229" s="85">
        <f>VLOOKUP(C229,Aprēķins_2030!$A$141:$Q$183,17,FALSE)</f>
        <v>2198.7888218159073</v>
      </c>
    </row>
    <row r="230" spans="2:4" s="4" customFormat="1" ht="14.5" x14ac:dyDescent="0.35">
      <c r="B230" s="3" t="s">
        <v>432</v>
      </c>
      <c r="C230" s="188" t="s">
        <v>97</v>
      </c>
      <c r="D230" s="85">
        <f>VLOOKUP(C230,Aprēķins_2030!$A$141:$Q$183,17,FALSE)</f>
        <v>1716.3364432690694</v>
      </c>
    </row>
    <row r="231" spans="2:4" s="4" customFormat="1" ht="14.5" x14ac:dyDescent="0.35">
      <c r="B231" s="3" t="s">
        <v>432</v>
      </c>
      <c r="C231" s="188" t="s">
        <v>98</v>
      </c>
      <c r="D231" s="85">
        <f>VLOOKUP(C231,Aprēķins_2030!$A$141:$Q$183,17,FALSE)</f>
        <v>720.99925134281591</v>
      </c>
    </row>
    <row r="232" spans="2:4" s="4" customFormat="1" ht="14.5" x14ac:dyDescent="0.35">
      <c r="B232" s="3" t="s">
        <v>432</v>
      </c>
      <c r="C232" s="188" t="s">
        <v>100</v>
      </c>
      <c r="D232" s="85">
        <f>VLOOKUP(C232,Aprēķins_2030!$A$141:$Q$183,17,FALSE)</f>
        <v>2951.8546897297219</v>
      </c>
    </row>
    <row r="233" spans="2:4" s="4" customFormat="1" ht="14.5" x14ac:dyDescent="0.35">
      <c r="B233" s="3" t="s">
        <v>432</v>
      </c>
      <c r="C233" s="188" t="s">
        <v>103</v>
      </c>
      <c r="D233" s="85">
        <f>VLOOKUP(C233,Aprēķins_2030!$A$141:$Q$183,17,FALSE)</f>
        <v>1190.4955699247887</v>
      </c>
    </row>
    <row r="234" spans="2:4" s="4" customFormat="1" ht="14.5" x14ac:dyDescent="0.35">
      <c r="B234" s="3" t="s">
        <v>432</v>
      </c>
      <c r="C234" s="188" t="s">
        <v>106</v>
      </c>
      <c r="D234" s="85">
        <f>VLOOKUP(C234,Aprēķins_2030!$A$141:$Q$183,17,FALSE)</f>
        <v>2330.5625098199316</v>
      </c>
    </row>
    <row r="235" spans="2:4" s="4" customFormat="1" ht="14.5" x14ac:dyDescent="0.35">
      <c r="B235" s="3" t="s">
        <v>432</v>
      </c>
      <c r="C235" s="188" t="s">
        <v>108</v>
      </c>
      <c r="D235" s="85">
        <f>VLOOKUP(C235,Aprēķins_2030!$A$141:$Q$183,17,FALSE)</f>
        <v>3454.8372844991777</v>
      </c>
    </row>
    <row r="236" spans="2:4" s="4" customFormat="1" ht="14.5" x14ac:dyDescent="0.35">
      <c r="B236" s="3" t="s">
        <v>432</v>
      </c>
      <c r="C236" s="188" t="s">
        <v>110</v>
      </c>
      <c r="D236" s="85">
        <f>VLOOKUP(C236,Aprēķins_2030!$A$141:$Q$183,17,FALSE)</f>
        <v>433.5645189514629</v>
      </c>
    </row>
    <row r="237" spans="2:4" s="4" customFormat="1" ht="14.5" x14ac:dyDescent="0.35">
      <c r="B237" s="3" t="s">
        <v>432</v>
      </c>
      <c r="C237" s="188" t="s">
        <v>442</v>
      </c>
      <c r="D237" s="85">
        <f>VLOOKUP(C237,Aprēķins_2030!$A$141:$Q$183,17,FALSE)</f>
        <v>4700.1389281475012</v>
      </c>
    </row>
    <row r="238" spans="2:4" s="4" customFormat="1" ht="14.5" x14ac:dyDescent="0.35">
      <c r="B238" s="3" t="s">
        <v>432</v>
      </c>
      <c r="C238" s="188" t="s">
        <v>111</v>
      </c>
      <c r="D238" s="85">
        <f>VLOOKUP(C238,Aprēķins_2030!$A$141:$Q$183,17,FALSE)</f>
        <v>191.81108705063784</v>
      </c>
    </row>
    <row r="239" spans="2:4" s="4" customFormat="1" ht="14.5" x14ac:dyDescent="0.35">
      <c r="B239" s="3" t="s">
        <v>432</v>
      </c>
      <c r="C239" s="188" t="s">
        <v>9</v>
      </c>
      <c r="D239" s="85">
        <f>VLOOKUP(C239,Aprēķins_2030!$A$141:$Q$183,17,FALSE)</f>
        <v>3411.4517673542773</v>
      </c>
    </row>
    <row r="240" spans="2:4" s="4" customFormat="1" ht="14.5" x14ac:dyDescent="0.35">
      <c r="B240" s="3" t="s">
        <v>432</v>
      </c>
      <c r="C240" s="188" t="s">
        <v>115</v>
      </c>
      <c r="D240" s="85">
        <f>VLOOKUP(C240,Aprēķins_2030!$A$141:$Q$183,17,FALSE)</f>
        <v>720.44327502335148</v>
      </c>
    </row>
    <row r="241" spans="2:4" s="4" customFormat="1" ht="14.5" x14ac:dyDescent="0.35">
      <c r="B241" s="3"/>
      <c r="C241" s="3"/>
      <c r="D241" s="85">
        <v>0</v>
      </c>
    </row>
    <row r="242" spans="2:4" s="4" customFormat="1" ht="14.5" x14ac:dyDescent="0.35">
      <c r="B242" s="3"/>
      <c r="C242" s="3"/>
      <c r="D242" s="85">
        <v>7000</v>
      </c>
    </row>
  </sheetData>
  <sheetProtection algorithmName="SHA-512" hashValue="N6lsYaBGHMrWvEO1FIRyMAtSbOrYQiRc8p3h9n9uqVlL7rKwl/QrwzD3ia8EzLUeighvSDw03q13spgqDrEneg==" saltValue="XwCCFMdjFLCm3iEiug2sAg==" spinCount="100000" sheet="1" objects="1" scenarios="1"/>
  <mergeCells count="10">
    <mergeCell ref="X3:Y4"/>
    <mergeCell ref="F3:I3"/>
    <mergeCell ref="J3:M3"/>
    <mergeCell ref="N3:Q3"/>
    <mergeCell ref="R3:U3"/>
    <mergeCell ref="E3:E4"/>
    <mergeCell ref="D3:D4"/>
    <mergeCell ref="C3:C4"/>
    <mergeCell ref="B3:B4"/>
    <mergeCell ref="B197:D197"/>
  </mergeCells>
  <phoneticPr fontId="4" type="noConversion"/>
  <pageMargins left="0.7" right="0.7" top="0.75" bottom="0.75" header="0.3" footer="0.3"/>
  <pageSetup paperSize="9" orientation="portrait" verticalDpi="0" r:id="rId3"/>
  <drawing r:id="rId4"/>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B020-908C-4A3F-BDD0-05E56A36E165}">
  <dimension ref="A1:D94"/>
  <sheetViews>
    <sheetView zoomScale="70" zoomScaleNormal="70" workbookViewId="0">
      <selection activeCell="AC74" sqref="AC74"/>
    </sheetView>
  </sheetViews>
  <sheetFormatPr defaultColWidth="8.90625" defaultRowHeight="14.5" x14ac:dyDescent="0.35"/>
  <cols>
    <col min="1" max="1" width="8.90625" style="4"/>
    <col min="2" max="2" width="26.453125" style="4" customWidth="1"/>
    <col min="3" max="3" width="22.90625" style="4" customWidth="1"/>
    <col min="4" max="5" width="11.08984375" style="4" customWidth="1"/>
    <col min="6" max="16384" width="8.90625" style="4"/>
  </cols>
  <sheetData>
    <row r="1" spans="1:4" ht="27" customHeight="1" x14ac:dyDescent="0.6">
      <c r="A1" s="39" t="s">
        <v>507</v>
      </c>
    </row>
    <row r="2" spans="1:4" x14ac:dyDescent="0.35">
      <c r="A2" s="189" t="s">
        <v>433</v>
      </c>
      <c r="B2" s="189" t="s">
        <v>434</v>
      </c>
      <c r="C2" s="189" t="s">
        <v>436</v>
      </c>
    </row>
    <row r="3" spans="1:4" x14ac:dyDescent="0.35">
      <c r="A3" s="3" t="s">
        <v>432</v>
      </c>
      <c r="B3" s="188" t="s">
        <v>1</v>
      </c>
      <c r="C3" s="3" t="s">
        <v>438</v>
      </c>
    </row>
    <row r="4" spans="1:4" x14ac:dyDescent="0.35">
      <c r="A4" s="3" t="s">
        <v>432</v>
      </c>
      <c r="B4" s="188" t="s">
        <v>11</v>
      </c>
      <c r="C4" s="3" t="s">
        <v>438</v>
      </c>
    </row>
    <row r="5" spans="1:4" x14ac:dyDescent="0.35">
      <c r="A5" s="3" t="s">
        <v>432</v>
      </c>
      <c r="B5" s="188" t="s">
        <v>16</v>
      </c>
      <c r="C5" s="3" t="s">
        <v>439</v>
      </c>
    </row>
    <row r="6" spans="1:4" x14ac:dyDescent="0.35">
      <c r="A6" s="3" t="s">
        <v>432</v>
      </c>
      <c r="B6" s="188" t="s">
        <v>443</v>
      </c>
      <c r="C6" s="3" t="s">
        <v>437</v>
      </c>
    </row>
    <row r="7" spans="1:4" x14ac:dyDescent="0.35">
      <c r="A7" s="3" t="s">
        <v>432</v>
      </c>
      <c r="B7" s="188" t="s">
        <v>20</v>
      </c>
      <c r="C7" s="3" t="s">
        <v>438</v>
      </c>
    </row>
    <row r="8" spans="1:4" x14ac:dyDescent="0.35">
      <c r="A8" s="3" t="s">
        <v>432</v>
      </c>
      <c r="B8" s="188" t="s">
        <v>24</v>
      </c>
      <c r="C8" s="3" t="s">
        <v>439</v>
      </c>
    </row>
    <row r="9" spans="1:4" x14ac:dyDescent="0.35">
      <c r="A9" s="3" t="s">
        <v>432</v>
      </c>
      <c r="B9" s="188" t="s">
        <v>25</v>
      </c>
      <c r="C9" s="3" t="s">
        <v>438</v>
      </c>
    </row>
    <row r="10" spans="1:4" x14ac:dyDescent="0.35">
      <c r="A10" s="3" t="s">
        <v>432</v>
      </c>
      <c r="B10" s="188" t="s">
        <v>31</v>
      </c>
      <c r="C10" s="3" t="s">
        <v>439</v>
      </c>
    </row>
    <row r="11" spans="1:4" x14ac:dyDescent="0.35">
      <c r="A11" s="3" t="s">
        <v>432</v>
      </c>
      <c r="B11" s="188" t="s">
        <v>2</v>
      </c>
      <c r="C11" s="3" t="s">
        <v>437</v>
      </c>
    </row>
    <row r="12" spans="1:4" x14ac:dyDescent="0.35">
      <c r="A12" s="3" t="s">
        <v>432</v>
      </c>
      <c r="B12" s="188" t="s">
        <v>441</v>
      </c>
      <c r="C12" s="3" t="s">
        <v>176</v>
      </c>
    </row>
    <row r="13" spans="1:4" x14ac:dyDescent="0.35">
      <c r="A13" s="3" t="s">
        <v>432</v>
      </c>
      <c r="B13" s="188" t="s">
        <v>35</v>
      </c>
      <c r="C13" s="3" t="s">
        <v>438</v>
      </c>
    </row>
    <row r="14" spans="1:4" x14ac:dyDescent="0.35">
      <c r="A14" s="3" t="s">
        <v>432</v>
      </c>
      <c r="B14" s="188" t="s">
        <v>42</v>
      </c>
      <c r="C14" s="3" t="s">
        <v>439</v>
      </c>
      <c r="D14" s="187"/>
    </row>
    <row r="15" spans="1:4" x14ac:dyDescent="0.35">
      <c r="A15" s="3" t="s">
        <v>432</v>
      </c>
      <c r="B15" s="188" t="s">
        <v>50</v>
      </c>
      <c r="C15" s="3" t="s">
        <v>438</v>
      </c>
    </row>
    <row r="16" spans="1:4" x14ac:dyDescent="0.35">
      <c r="A16" s="3" t="s">
        <v>432</v>
      </c>
      <c r="B16" s="188" t="s">
        <v>51</v>
      </c>
      <c r="C16" s="3" t="s">
        <v>437</v>
      </c>
    </row>
    <row r="17" spans="1:3" x14ac:dyDescent="0.35">
      <c r="A17" s="3" t="s">
        <v>432</v>
      </c>
      <c r="B17" s="188" t="s">
        <v>4</v>
      </c>
      <c r="C17" s="3" t="s">
        <v>440</v>
      </c>
    </row>
    <row r="18" spans="1:3" x14ac:dyDescent="0.35">
      <c r="A18" s="3" t="s">
        <v>432</v>
      </c>
      <c r="B18" s="188" t="s">
        <v>56</v>
      </c>
      <c r="C18" s="3" t="s">
        <v>437</v>
      </c>
    </row>
    <row r="19" spans="1:3" x14ac:dyDescent="0.35">
      <c r="A19" s="3" t="s">
        <v>432</v>
      </c>
      <c r="B19" s="188" t="s">
        <v>59</v>
      </c>
      <c r="C19" s="3" t="s">
        <v>440</v>
      </c>
    </row>
    <row r="20" spans="1:3" x14ac:dyDescent="0.35">
      <c r="A20" s="3" t="s">
        <v>432</v>
      </c>
      <c r="B20" s="188" t="s">
        <v>61</v>
      </c>
      <c r="C20" s="3" t="s">
        <v>438</v>
      </c>
    </row>
    <row r="21" spans="1:3" x14ac:dyDescent="0.35">
      <c r="A21" s="3" t="s">
        <v>432</v>
      </c>
      <c r="B21" s="188" t="s">
        <v>6</v>
      </c>
      <c r="C21" s="3" t="s">
        <v>176</v>
      </c>
    </row>
    <row r="22" spans="1:3" x14ac:dyDescent="0.35">
      <c r="A22" s="3" t="s">
        <v>432</v>
      </c>
      <c r="B22" s="188" t="s">
        <v>63</v>
      </c>
      <c r="C22" s="3" t="s">
        <v>439</v>
      </c>
    </row>
    <row r="23" spans="1:3" x14ac:dyDescent="0.35">
      <c r="A23" s="3" t="s">
        <v>432</v>
      </c>
      <c r="B23" s="188" t="s">
        <v>65</v>
      </c>
      <c r="C23" s="3" t="s">
        <v>437</v>
      </c>
    </row>
    <row r="24" spans="1:3" x14ac:dyDescent="0.35">
      <c r="A24" s="3" t="s">
        <v>432</v>
      </c>
      <c r="B24" s="188" t="s">
        <v>67</v>
      </c>
      <c r="C24" s="3" t="s">
        <v>437</v>
      </c>
    </row>
    <row r="25" spans="1:3" x14ac:dyDescent="0.35">
      <c r="A25" s="3" t="s">
        <v>432</v>
      </c>
      <c r="B25" s="188" t="s">
        <v>68</v>
      </c>
      <c r="C25" s="3" t="s">
        <v>439</v>
      </c>
    </row>
    <row r="26" spans="1:3" x14ac:dyDescent="0.35">
      <c r="A26" s="3" t="s">
        <v>432</v>
      </c>
      <c r="B26" s="188" t="s">
        <v>71</v>
      </c>
      <c r="C26" s="3" t="s">
        <v>438</v>
      </c>
    </row>
    <row r="27" spans="1:3" x14ac:dyDescent="0.35">
      <c r="A27" s="3" t="s">
        <v>432</v>
      </c>
      <c r="B27" s="188" t="s">
        <v>76</v>
      </c>
      <c r="C27" s="3" t="s">
        <v>438</v>
      </c>
    </row>
    <row r="28" spans="1:3" x14ac:dyDescent="0.35">
      <c r="A28" s="3" t="s">
        <v>432</v>
      </c>
      <c r="B28" s="188" t="s">
        <v>77</v>
      </c>
      <c r="C28" s="3" t="s">
        <v>438</v>
      </c>
    </row>
    <row r="29" spans="1:3" x14ac:dyDescent="0.35">
      <c r="A29" s="3" t="s">
        <v>432</v>
      </c>
      <c r="B29" s="188" t="s">
        <v>82</v>
      </c>
      <c r="C29" s="3" t="s">
        <v>437</v>
      </c>
    </row>
    <row r="30" spans="1:3" x14ac:dyDescent="0.35">
      <c r="A30" s="3" t="s">
        <v>432</v>
      </c>
      <c r="B30" s="188" t="s">
        <v>7</v>
      </c>
      <c r="C30" s="3" t="s">
        <v>437</v>
      </c>
    </row>
    <row r="31" spans="1:3" x14ac:dyDescent="0.35">
      <c r="A31" s="3" t="s">
        <v>432</v>
      </c>
      <c r="B31" s="188" t="s">
        <v>86</v>
      </c>
      <c r="C31" s="3" t="s">
        <v>437</v>
      </c>
    </row>
    <row r="32" spans="1:3" x14ac:dyDescent="0.35">
      <c r="A32" s="3" t="s">
        <v>432</v>
      </c>
      <c r="B32" s="188" t="s">
        <v>89</v>
      </c>
      <c r="C32" s="3" t="s">
        <v>438</v>
      </c>
    </row>
    <row r="33" spans="1:3" x14ac:dyDescent="0.35">
      <c r="A33" s="3" t="s">
        <v>432</v>
      </c>
      <c r="B33" s="188" t="s">
        <v>96</v>
      </c>
      <c r="C33" s="3" t="s">
        <v>438</v>
      </c>
    </row>
    <row r="34" spans="1:3" x14ac:dyDescent="0.35">
      <c r="A34" s="3" t="s">
        <v>432</v>
      </c>
      <c r="B34" s="188" t="s">
        <v>97</v>
      </c>
      <c r="C34" s="3" t="s">
        <v>176</v>
      </c>
    </row>
    <row r="35" spans="1:3" x14ac:dyDescent="0.35">
      <c r="A35" s="3" t="s">
        <v>432</v>
      </c>
      <c r="B35" s="188" t="s">
        <v>98</v>
      </c>
      <c r="C35" s="3" t="s">
        <v>439</v>
      </c>
    </row>
    <row r="36" spans="1:3" x14ac:dyDescent="0.35">
      <c r="A36" s="3" t="s">
        <v>432</v>
      </c>
      <c r="B36" s="188" t="s">
        <v>100</v>
      </c>
      <c r="C36" s="3" t="s">
        <v>438</v>
      </c>
    </row>
    <row r="37" spans="1:3" x14ac:dyDescent="0.35">
      <c r="A37" s="3" t="s">
        <v>432</v>
      </c>
      <c r="B37" s="188" t="s">
        <v>103</v>
      </c>
      <c r="C37" s="3" t="s">
        <v>439</v>
      </c>
    </row>
    <row r="38" spans="1:3" x14ac:dyDescent="0.35">
      <c r="A38" s="3" t="s">
        <v>432</v>
      </c>
      <c r="B38" s="188" t="s">
        <v>106</v>
      </c>
      <c r="C38" s="3" t="s">
        <v>440</v>
      </c>
    </row>
    <row r="39" spans="1:3" x14ac:dyDescent="0.35">
      <c r="A39" s="3" t="s">
        <v>432</v>
      </c>
      <c r="B39" s="188" t="s">
        <v>108</v>
      </c>
      <c r="C39" s="3" t="s">
        <v>440</v>
      </c>
    </row>
    <row r="40" spans="1:3" x14ac:dyDescent="0.35">
      <c r="A40" s="3" t="s">
        <v>432</v>
      </c>
      <c r="B40" s="188" t="s">
        <v>110</v>
      </c>
      <c r="C40" s="3" t="s">
        <v>439</v>
      </c>
    </row>
    <row r="41" spans="1:3" x14ac:dyDescent="0.35">
      <c r="A41" s="3" t="s">
        <v>432</v>
      </c>
      <c r="B41" s="188" t="s">
        <v>442</v>
      </c>
      <c r="C41" s="3" t="s">
        <v>439</v>
      </c>
    </row>
    <row r="42" spans="1:3" x14ac:dyDescent="0.35">
      <c r="A42" s="3" t="s">
        <v>432</v>
      </c>
      <c r="B42" s="188" t="s">
        <v>111</v>
      </c>
      <c r="C42" s="3" t="s">
        <v>437</v>
      </c>
    </row>
    <row r="43" spans="1:3" x14ac:dyDescent="0.35">
      <c r="A43" s="3" t="s">
        <v>432</v>
      </c>
      <c r="B43" s="188" t="s">
        <v>9</v>
      </c>
      <c r="C43" s="3" t="s">
        <v>440</v>
      </c>
    </row>
    <row r="44" spans="1:3" x14ac:dyDescent="0.35">
      <c r="A44" s="3" t="s">
        <v>432</v>
      </c>
      <c r="B44" s="188" t="s">
        <v>115</v>
      </c>
      <c r="C44" s="3" t="s">
        <v>440</v>
      </c>
    </row>
    <row r="46" spans="1:3" ht="14.4" customHeight="1" x14ac:dyDescent="0.35"/>
    <row r="49" spans="1:4" ht="26" x14ac:dyDescent="0.6">
      <c r="A49" s="39" t="s">
        <v>526</v>
      </c>
    </row>
    <row r="50" spans="1:4" x14ac:dyDescent="0.35">
      <c r="A50" s="189" t="s">
        <v>433</v>
      </c>
      <c r="B50" s="189" t="s">
        <v>434</v>
      </c>
      <c r="C50" s="189" t="s">
        <v>525</v>
      </c>
    </row>
    <row r="51" spans="1:4" x14ac:dyDescent="0.35">
      <c r="A51" s="3" t="s">
        <v>432</v>
      </c>
      <c r="B51" s="188" t="s">
        <v>1</v>
      </c>
      <c r="C51" s="3" t="s">
        <v>155</v>
      </c>
    </row>
    <row r="52" spans="1:4" x14ac:dyDescent="0.35">
      <c r="A52" s="3" t="s">
        <v>432</v>
      </c>
      <c r="B52" s="188" t="s">
        <v>11</v>
      </c>
      <c r="C52" s="3" t="s">
        <v>158</v>
      </c>
    </row>
    <row r="53" spans="1:4" x14ac:dyDescent="0.35">
      <c r="A53" s="3" t="s">
        <v>432</v>
      </c>
      <c r="B53" s="188" t="s">
        <v>16</v>
      </c>
      <c r="C53" s="3" t="s">
        <v>165</v>
      </c>
    </row>
    <row r="54" spans="1:4" x14ac:dyDescent="0.35">
      <c r="A54" s="3" t="s">
        <v>432</v>
      </c>
      <c r="B54" s="188" t="s">
        <v>443</v>
      </c>
      <c r="C54" s="3" t="s">
        <v>156</v>
      </c>
    </row>
    <row r="55" spans="1:4" x14ac:dyDescent="0.35">
      <c r="A55" s="3" t="s">
        <v>432</v>
      </c>
      <c r="B55" s="188" t="s">
        <v>20</v>
      </c>
      <c r="C55" s="3" t="s">
        <v>155</v>
      </c>
    </row>
    <row r="56" spans="1:4" x14ac:dyDescent="0.35">
      <c r="A56" s="3" t="s">
        <v>432</v>
      </c>
      <c r="B56" s="188" t="s">
        <v>24</v>
      </c>
      <c r="C56" s="3" t="s">
        <v>165</v>
      </c>
    </row>
    <row r="57" spans="1:4" x14ac:dyDescent="0.35">
      <c r="A57" s="3" t="s">
        <v>432</v>
      </c>
      <c r="B57" s="188" t="s">
        <v>25</v>
      </c>
      <c r="C57" s="3" t="s">
        <v>157</v>
      </c>
    </row>
    <row r="58" spans="1:4" x14ac:dyDescent="0.35">
      <c r="A58" s="3" t="s">
        <v>432</v>
      </c>
      <c r="B58" s="188" t="s">
        <v>31</v>
      </c>
      <c r="C58" s="3" t="s">
        <v>161</v>
      </c>
    </row>
    <row r="59" spans="1:4" x14ac:dyDescent="0.35">
      <c r="A59" s="3" t="s">
        <v>432</v>
      </c>
      <c r="B59" s="188" t="s">
        <v>2</v>
      </c>
      <c r="C59" s="3" t="s">
        <v>156</v>
      </c>
    </row>
    <row r="60" spans="1:4" x14ac:dyDescent="0.35">
      <c r="A60" s="3" t="s">
        <v>432</v>
      </c>
      <c r="B60" s="188" t="s">
        <v>441</v>
      </c>
      <c r="C60" s="3" t="s">
        <v>6</v>
      </c>
    </row>
    <row r="61" spans="1:4" x14ac:dyDescent="0.35">
      <c r="A61" s="3" t="s">
        <v>432</v>
      </c>
      <c r="B61" s="188" t="s">
        <v>35</v>
      </c>
      <c r="C61" s="3" t="s">
        <v>157</v>
      </c>
    </row>
    <row r="62" spans="1:4" x14ac:dyDescent="0.35">
      <c r="A62" s="3" t="s">
        <v>432</v>
      </c>
      <c r="B62" s="188" t="s">
        <v>42</v>
      </c>
      <c r="C62" s="3" t="s">
        <v>165</v>
      </c>
      <c r="D62" s="187"/>
    </row>
    <row r="63" spans="1:4" x14ac:dyDescent="0.35">
      <c r="A63" s="3" t="s">
        <v>432</v>
      </c>
      <c r="B63" s="188" t="s">
        <v>50</v>
      </c>
      <c r="C63" s="3" t="s">
        <v>157</v>
      </c>
    </row>
    <row r="64" spans="1:4" x14ac:dyDescent="0.35">
      <c r="A64" s="3" t="s">
        <v>432</v>
      </c>
      <c r="B64" s="188" t="s">
        <v>51</v>
      </c>
      <c r="C64" s="3" t="s">
        <v>158</v>
      </c>
    </row>
    <row r="65" spans="1:3" x14ac:dyDescent="0.35">
      <c r="A65" s="3" t="s">
        <v>432</v>
      </c>
      <c r="B65" s="188" t="s">
        <v>4</v>
      </c>
      <c r="C65" s="3" t="s">
        <v>159</v>
      </c>
    </row>
    <row r="66" spans="1:3" x14ac:dyDescent="0.35">
      <c r="A66" s="3" t="s">
        <v>432</v>
      </c>
      <c r="B66" s="188" t="s">
        <v>56</v>
      </c>
      <c r="C66" s="3" t="s">
        <v>156</v>
      </c>
    </row>
    <row r="67" spans="1:3" x14ac:dyDescent="0.35">
      <c r="A67" s="3" t="s">
        <v>432</v>
      </c>
      <c r="B67" s="188" t="s">
        <v>59</v>
      </c>
      <c r="C67" s="3" t="s">
        <v>162</v>
      </c>
    </row>
    <row r="68" spans="1:3" x14ac:dyDescent="0.35">
      <c r="A68" s="3" t="s">
        <v>432</v>
      </c>
      <c r="B68" s="188" t="s">
        <v>61</v>
      </c>
      <c r="C68" s="3" t="s">
        <v>155</v>
      </c>
    </row>
    <row r="69" spans="1:3" x14ac:dyDescent="0.35">
      <c r="A69" s="3" t="s">
        <v>432</v>
      </c>
      <c r="B69" s="188" t="s">
        <v>6</v>
      </c>
      <c r="C69" s="3" t="s">
        <v>6</v>
      </c>
    </row>
    <row r="70" spans="1:3" x14ac:dyDescent="0.35">
      <c r="A70" s="3" t="s">
        <v>432</v>
      </c>
      <c r="B70" s="188" t="s">
        <v>63</v>
      </c>
      <c r="C70" s="3" t="s">
        <v>161</v>
      </c>
    </row>
    <row r="71" spans="1:3" x14ac:dyDescent="0.35">
      <c r="A71" s="3" t="s">
        <v>432</v>
      </c>
      <c r="B71" s="188" t="s">
        <v>65</v>
      </c>
      <c r="C71" s="3" t="s">
        <v>156</v>
      </c>
    </row>
    <row r="72" spans="1:3" x14ac:dyDescent="0.35">
      <c r="A72" s="3" t="s">
        <v>432</v>
      </c>
      <c r="B72" s="188" t="s">
        <v>67</v>
      </c>
      <c r="C72" s="3" t="s">
        <v>160</v>
      </c>
    </row>
    <row r="73" spans="1:3" x14ac:dyDescent="0.35">
      <c r="A73" s="3" t="s">
        <v>432</v>
      </c>
      <c r="B73" s="188" t="s">
        <v>68</v>
      </c>
      <c r="C73" s="3" t="s">
        <v>158</v>
      </c>
    </row>
    <row r="74" spans="1:3" x14ac:dyDescent="0.35">
      <c r="A74" s="3" t="s">
        <v>432</v>
      </c>
      <c r="B74" s="188" t="s">
        <v>71</v>
      </c>
      <c r="C74" s="3" t="s">
        <v>155</v>
      </c>
    </row>
    <row r="75" spans="1:3" x14ac:dyDescent="0.35">
      <c r="A75" s="3" t="s">
        <v>432</v>
      </c>
      <c r="B75" s="188" t="s">
        <v>76</v>
      </c>
      <c r="C75" s="3" t="s">
        <v>155</v>
      </c>
    </row>
    <row r="76" spans="1:3" x14ac:dyDescent="0.35">
      <c r="A76" s="3" t="s">
        <v>432</v>
      </c>
      <c r="B76" s="188" t="s">
        <v>77</v>
      </c>
      <c r="C76" s="3" t="s">
        <v>155</v>
      </c>
    </row>
    <row r="77" spans="1:3" x14ac:dyDescent="0.35">
      <c r="A77" s="3" t="s">
        <v>432</v>
      </c>
      <c r="B77" s="188" t="s">
        <v>82</v>
      </c>
      <c r="C77" s="3" t="s">
        <v>156</v>
      </c>
    </row>
    <row r="78" spans="1:3" x14ac:dyDescent="0.35">
      <c r="A78" s="3" t="s">
        <v>432</v>
      </c>
      <c r="B78" s="188" t="s">
        <v>7</v>
      </c>
      <c r="C78" s="3" t="s">
        <v>160</v>
      </c>
    </row>
    <row r="79" spans="1:3" x14ac:dyDescent="0.35">
      <c r="A79" s="3" t="s">
        <v>432</v>
      </c>
      <c r="B79" s="188" t="s">
        <v>86</v>
      </c>
      <c r="C79" s="3" t="s">
        <v>160</v>
      </c>
    </row>
    <row r="80" spans="1:3" x14ac:dyDescent="0.35">
      <c r="A80" s="3" t="s">
        <v>432</v>
      </c>
      <c r="B80" s="188" t="s">
        <v>89</v>
      </c>
      <c r="C80" s="3" t="s">
        <v>155</v>
      </c>
    </row>
    <row r="81" spans="1:3" x14ac:dyDescent="0.35">
      <c r="A81" s="3" t="s">
        <v>432</v>
      </c>
      <c r="B81" s="188" t="s">
        <v>96</v>
      </c>
      <c r="C81" s="3" t="s">
        <v>155</v>
      </c>
    </row>
    <row r="82" spans="1:3" x14ac:dyDescent="0.35">
      <c r="A82" s="3" t="s">
        <v>432</v>
      </c>
      <c r="B82" s="188" t="s">
        <v>97</v>
      </c>
      <c r="C82" s="3" t="s">
        <v>6</v>
      </c>
    </row>
    <row r="83" spans="1:3" x14ac:dyDescent="0.35">
      <c r="A83" s="3" t="s">
        <v>432</v>
      </c>
      <c r="B83" s="188" t="s">
        <v>98</v>
      </c>
      <c r="C83" s="3" t="s">
        <v>155</v>
      </c>
    </row>
    <row r="84" spans="1:3" x14ac:dyDescent="0.35">
      <c r="A84" s="3" t="s">
        <v>432</v>
      </c>
      <c r="B84" s="188" t="s">
        <v>100</v>
      </c>
      <c r="C84" s="3" t="s">
        <v>155</v>
      </c>
    </row>
    <row r="85" spans="1:3" x14ac:dyDescent="0.35">
      <c r="A85" s="3" t="s">
        <v>432</v>
      </c>
      <c r="B85" s="188" t="s">
        <v>103</v>
      </c>
      <c r="C85" s="3" t="s">
        <v>165</v>
      </c>
    </row>
    <row r="86" spans="1:3" x14ac:dyDescent="0.35">
      <c r="A86" s="3" t="s">
        <v>432</v>
      </c>
      <c r="B86" s="188" t="s">
        <v>106</v>
      </c>
      <c r="C86" s="3" t="s">
        <v>159</v>
      </c>
    </row>
    <row r="87" spans="1:3" x14ac:dyDescent="0.35">
      <c r="A87" s="3" t="s">
        <v>432</v>
      </c>
      <c r="B87" s="188" t="s">
        <v>108</v>
      </c>
      <c r="C87" s="3" t="s">
        <v>159</v>
      </c>
    </row>
    <row r="88" spans="1:3" x14ac:dyDescent="0.35">
      <c r="A88" s="3" t="s">
        <v>432</v>
      </c>
      <c r="B88" s="188" t="s">
        <v>110</v>
      </c>
      <c r="C88" s="3" t="s">
        <v>161</v>
      </c>
    </row>
    <row r="89" spans="1:3" x14ac:dyDescent="0.35">
      <c r="A89" s="3" t="s">
        <v>432</v>
      </c>
      <c r="B89" s="188" t="s">
        <v>442</v>
      </c>
      <c r="C89" s="3" t="s">
        <v>161</v>
      </c>
    </row>
    <row r="90" spans="1:3" x14ac:dyDescent="0.35">
      <c r="A90" s="3" t="s">
        <v>432</v>
      </c>
      <c r="B90" s="188" t="s">
        <v>111</v>
      </c>
      <c r="C90" s="3" t="s">
        <v>156</v>
      </c>
    </row>
    <row r="91" spans="1:3" x14ac:dyDescent="0.35">
      <c r="A91" s="3" t="s">
        <v>432</v>
      </c>
      <c r="B91" s="188" t="s">
        <v>9</v>
      </c>
      <c r="C91" s="3" t="s">
        <v>162</v>
      </c>
    </row>
    <row r="92" spans="1:3" x14ac:dyDescent="0.35">
      <c r="A92" s="3" t="s">
        <v>432</v>
      </c>
      <c r="B92" s="188" t="s">
        <v>115</v>
      </c>
      <c r="C92" s="3" t="s">
        <v>162</v>
      </c>
    </row>
    <row r="94" spans="1:3" ht="14.4" customHeight="1" x14ac:dyDescent="0.35"/>
  </sheetData>
  <sheetProtection algorithmName="SHA-512" hashValue="tkp/SbWLWIBAwr66YzU4q3+ALulk2fsxZORUU75heNrWR5M8x04oD7gv1zk2MMiFS0oo4yR6EPXhlJOx9MBfwg==" saltValue="BRWGNYFx+Zx5dj6ud79P+w==" spinCount="100000" sheet="1" objects="1" scenarios="1"/>
  <autoFilter ref="A2:C46" xr:uid="{658DE35E-A39E-436C-98D3-E739B619F36B}"/>
  <phoneticPr fontId="4" type="noConversion"/>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V i s u a l i z a t i o n L S t a t e   x m l n s : x s i = " h t t p : / / w w w . w 3 . o r g / 2 0 0 1 / X M L S c h e m a - i n s t a n c e "   x m l n s : x s d = " h t t p : / / w w w . w 3 . o r g / 2 0 0 1 / X M L S c h e m a "   x m l n s = " h t t p : / / m i c r o s o f t . d a t a . v i s u a l i z a t i o n . C l i e n t . E x c e l . L S t a t e / 1 . 0 " > < c g > H 4 s I A A A A A A A E A L 2 S S 0 7 D M B C G r 2 J 5 X z v v p l W S C i o V V S q b I i G 2 V u y m F o 6 N b K c p X I 0 F R + I K T G h V 0 b B g x 8 K y 5 v F 7 v v n l z / e P Y n F s F T o I 6 6 T R J Q 5 J g J H Q t e F S N y X u / G 6 S 4 0 V V 3 E K 4 Y X 5 j 9 J L V e 4 F A p N 3 8 6 G S J 9 9 6 / z C n t + 5 7 0 M T G 2 o V E Q h P T p f v M A n S 2 b S O 0 8 0 7 X A F x X / W 4 W r Y u 1 O g k t z K 2 t r n N l 5 w p l n 5 C B d x 5 R 8 Y x 7 Q S S N M z O n A D 0 r 0 X O J F b T r t 7 e t W N M N q Q H + Q D I q P T H U C 7 e s S e 9 s J S N w J s x X O q G 5 4 x 4 1 i p H y J 0 4 z k a R K E Y R q n W Z K k c Y i R A r e i h M y i a Z B l e R D N p n k a Z m A e 9 C 9 / T o Y J K 2 N b 5 r 3 g N 5 x b 4 V x 1 g i n o r 0 J x 7 l h J o T i w O G / B e Q R G z 7 V U Z 2 R E / 7 N w g T 2 x V A U d M d I r A 6 F + F c M S 9 N t y u N f D G R K j 7 1 R 9 A b T z b N W J A g 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V i s u a l i z a t i o n   x m l n s : x s i = " h t t p : / / w w w . w 3 . o r g / 2 0 0 1 / X M L S c h e m a - i n s t a n c e "   x m l n s : x s d = " h t t p : / / w w w . w 3 . o r g / 2 0 0 1 / X M L S c h e m a "   x m l n s = " h t t p : / / m i c r o s o f t . d a t a . v i s u a l i z a t i o n . C l i e n t . E x c e l / 1 . 0 " > < T o u r s > < T o u r   N a m e = " T o u r   1 "   I d = " { 5 7 3 2 C B 8 A - 9 3 7 C - 4 6 D 7 - A 6 B 7 - 0 7 8 7 0 8 1 4 B 0 9 7 } "   T o u r I d = " 6 a 7 8 9 9 c 4 - 1 7 6 8 - 4 b 1 d - 8 e 9 1 - 4 c 6 9 9 e 4 8 e a 5 f "   X m l V e r = " 6 "   M i n X m l V e r = " 3 " > < D e s c r i p t i o n > S o m e   d e s c r i p t i o n   f o r   t h e   t o u r   g o e s   h e r e < / D e s c r i p t i o n > < I m a g e > i V B O R w 0 K G g o A A A A N S U h E U g A A A N Q A A A B 1 C A Y A A A A 2 n s 9 T A A A A A X N S R 0 I A r s 4 c 6 Q A A A A R n Q U 1 B A A C x j w v 8 Y Q U A A A A J c E h Z c w A A A 2 A A A A N g A b T C 1 p 0 A A H 2 p S U R B V H h e 7 b 1 n l J x X m h 7 2 V M 6 p q 6 s 6 R z Q S k Q i Q Y C Z B g j O c G W 2 Q V q t d r W z 9 k I 9 W a + n Y / m H / 8 z / 5 + N i S j 3 2 O d R x 0 j i V n 7 W p m N Z y d w F m G I Q k S B B h A E o H I q X O u r p x z + X 3 u 1 1 9 3 d a M 6 A i R n R n 7 A Y l f 4 w v 3 u f f N 9 7 3 s N r 3 + W b u C 3 F C Y j 8 P x Q C R + N 2 v C s / H V Z d v + o j U Y D Z + U 6 1 b p c d A v 0 + L K o 1 J 0 4 2 l V e / k Z D o 1 5 H r V Z H o Z C H 3 e 6 A w W B Q 3 5 v M J v W 3 W q m q 7 8 w W s / p M V P N V m J 2 r n 3 U k 8 l m Y j S Z c u n c Z j + 8 5 g l v j t 7 G Y W k K b N 4 C g N 4 g j e w 7 j 4 2 u f 4 J k D T y 6 f s X 2 k i o v I l R M w m U y q b Y 1 6 Q z 1 / o 2 5 A 0 D 6 A X C 4 H g 9 E A j 9 u z 8 g x E u W a A 1 d R A e i w L 7 7 B 7 + d v W i K V L + H L W J f d Y f b b 4 4 i Q s N h c 8 / v b l b 9 Y i 7 K l J n 1 a W P 3 0 7 q M s Y F o t F R K M x h E L t c D g c y 7 8 A u Z k 8 t q a O X 3 O 4 r F o H H x + 8 q V 4 u m 0 b E e 9 s r O L W n C K O h I d / J 6 y G Y i S D h v L S n g u / s K + J Q 5 + a D O p t y 4 2 D H g 8 d U q z V 5 V e F 0 O o W Q t K 6 v V i s o F U v I Z r K o N + o r z E U U F g o t m S l T M s J i s q J U K a G 7 r U v e W 9 A d 7 s a p Y y / g x S P P w + v y I J V N C X O 1 L Z + x M / j s H Q j Y u 5 H P l l A u V V D I l 5 C K Z a U T 6 u r l d r v h c r r W M B N B Z i L q Z T l u C / i c q 8 + p w + 7 y Y f b 2 p 6 p P W i F b M q D 2 L Y t / o 9 G o n t t m t 6 0 8 P 4 U N Y T A Z f v M Z K l e 2 Q B / W g K V P G E l 7 P 9 B W E 2 a C S H H g 2 Y G S 9 u V D 4 s w 9 G 6 a S Z g S d d R z v 3 Z y p L M Y H R 5 4 D o D G N G U a R / t R E V q s V Z v l M J r P Z r G u I t F K o L b 9 b R T x v g s d W x / / 1 5 v + B z 2 9 + D o s w 4 P T S H P K l g r r m Y m I J S 4 k o q u U K 9 v b u 5 U 2 X z 9 w Z H F Y v h j o O K c a 3 2 S 0 I h L 3 S X h N S t V l N c 8 l L R y J v R K W 6 e h / f X g 9 K m b X a e T 3 U c + Y X l M T X 4 R S G C g 0 d R S G X X v 5 m F d T 2 j / d U I D T 7 r Y N a y e v x o F w p I 5 / P I 5 1 O q 7 8 N T / 0 3 n 6 E I k m 4 q 5 x U G s q D d V d 8 t D W 2 I d N G I e E E j o P t R M z 4 a s + H q n E V 9 d t l b 3 y x X X t u 1 N O c I o 8 G 4 I t E I n b E 0 z b R 6 L Z p Z r u 5 V c 0 I + y r 0 t a H N q T H b q 2 C l 4 H B 7 c n L i N c C A E l 8 O F u 9 P 3 E U k u 4 s n H T u L a 5 A 3 c G L + x h k G 3 C x K 5 9 m q I 9 r M h u V g Q 4 t F + o w y u 1 i u I l c e Q r M w i k j E i I A L G Y m 5 g L i 3 P L O 2 s 5 M R M t T 6 o g Z p h k H 7 Y 1 + O Q v q i v 9 o e 0 1 S b P t D B 2 B b U m L f X 8 c A l L O R M c D 2 l l b A f l B 2 V Y S 5 C p a P J S s F A o F u M l x G M J / E b 7 U E Y x P x r L R N h o G P D s 8 A J c Z r / 6 / C i x k D X h + j I D b R f U j q f 3 F t V 7 M l O 5 X I b F w m s Y Y L E + a M b p 4 G D U 5 V m c c z c w N t m B n u e C q M g g i 3 J o C T 7 3 h 1 c / w s u P v 6 S Y N Z 5 J w C + S 3 q C u 1 B p k s m a m b g Y Z 6 c Z s D b G s S F s x l x 8 L F V A w J e G w i U l m 6 h E f 0 I C S Y U H M T Z O Y 0 i W x C g b X M u 3 V j 0 W d P L / 8 o T V m k i Z 0 + 2 q o 1 6 q 4 N x V D z h R G L C d 9 I t f h P W f H b s A X 6 o P H F 4 T T 2 s B z g y V p r / r 5 a 8 V 8 W j R w w Y A D H Z r w 2 w o l 0 c o 2 E S T E / E c R h J 5 r + 8 1 m q G a w r w P u J E 5 0 2 7 U v H g H e u 2 v H c H s N Y 9 F V a u a g N g n U l f e t 8 I J I V r t 0 O B m q V q u J a S c D V r a K l n n Q x + B 1 r s 2 Z U R U i M 5 k t W B I m t g u N d U W W s O c Z z / J R r W B A I p f C B T H / e j v 6 c K B v H 1 7 / 4 H X 8 y e k / W v 7 9 Q d j n b 6 P Y d W D 5 0 1 r U 5 P 4 X 7 y a R N H S J v 2 B S n 0 + P F F E 1 Z O A w B 5 a P I v j g D 1 J 4 / F I c s b 4 w 9 o Y 0 o q z S 7 Z L D N j L V 2 C 9 8 0 T e Z n E / i f r Y T 2 V Q c x W w c H f 1 a G + m 3 a m g g X p 6 Q / z / Y 6 U H r 8 P K 7 R 4 9 0 d R 6 V e k G e l l Y H H 6 S B g H V A v e e n Y k y E p U v M Y L v p N 5 + h P P Y S C h U z D n a P i k l g h d f c i U x 1 E R 5 z x / I R u 8 P l G S t i 4 h t s B o c o n M L m r p T S V L V K B S / v r W A + Z 0 W / v 7 X 0 y 4 n D / c 7 b f w 2 z z Y N G t Y D 2 j h 4 k Y x G k E n G 8 9 N I L 8 A d 8 c D s f F B Y 6 s + r O M t E c J S S + v H h F / T 2 w f z 8 i k Q i G h v r V 8 S p y J 6 9 Y P I V Q e 0 A F T J Y S G X y 1 1 C a m j F W d Q 4 Y 6 3 l N C u 1 v I S c 5 p h b v 3 R n H m z I f 4 0 3 / 4 D 8 R n N Y v Z V M F i P C 8 M 7 l c a Z y N t q I P 3 X V x Y R K p q x 1 j S h + m b 5 9 C 1 7 2 m 4 v W 0 Y b K t i T 7 C C Z H V G N P f G n W 0 3 t M F l e T T W y d l R O z o 9 N e w P V 5 C v J l C o J 5 Z / W Q + x N q Z D c P c 7 Y b R o f f M b z V A e e w G 1 u g k h X w R 7 / A E Z P J P Y 9 d P w W 3 r l 1 w 1 E 4 h a Y S Z l F D t V x c 1 E j K E K T S Y 8 G A W c D h z v K s K 3 z B y 5 N W 5 E t 1 l F p m M V s L a L c 0 O 4 / L A T V b i n C 7 l 5 t T z P I T F R v O s 3 G 4 z G 0 t Q W V V q B / R i a b m J p F R h x n n 9 + P m Z l Z L C 1 F 0 N H R i U J B G D c Y U P 7 Z s a O H x W 8 p 4 6 O r U Z T t v c J Q G l N q G q q w b K 5 u j B / / 5 O f q e p 2 d n X j 1 l V O 4 8 t U 1 F Q 3 0 + b 3 o D L c O g + v g M 5 R K J f l b x 7 s 3 G 8 j E Z n H 6 R T u K F Q / m E h 0 4 3 H d 3 + c j N 8 f V p K W r G S f n / W s s i / 6 U F f c / 2 r S G 1 3 2 i G I t G 8 I u Y I t Y C O W q M q T D W F N u u Q P O f q D w y 5 M l L d y r G d T J g x G j W j x 1 / D d G J z Z / p R g W Y M m e D K r B W p I h 3 9 5 R + a 4 L H U c c g U F w m 4 + Z x O M y j t y f 3 U C m S m 9 d r q k 0 + / w H P P n l z + 9 C B 4 / p n b c g 2 z Z 4 3 J Z 1 l 3 n Y 1 Q L Y p p K 6 a P D r a j X q 8 p 5 5 2 M w 0 A H 2 0 X m s 9 v t 6 j 2 R S C Q Q C A T w 1 5 e y m L j + K Z 5 7 9 R S G u x b U b 9 s F g 1 K M 9 D 4 K J N M 5 F P I F d H W u C o O E m J v 1 Z a b K f 2 R H 3 3 e 6 t f f 5 v P p L b G 7 T / J q D B H n m n h 0 f 3 r f h f f F 3 C J P B r C R V M z M R i Y J R M d 6 5 M S s W 0 k Y V z b k + b 8 X d J Q s G A l U l p b 8 p Z i I 4 S f y + t J 1 m Z S t m e r K v g p H M 4 o 6 Y i W A I n r 7 a R m b W Z s x E 8 P z T B 4 R 5 G m y U d o 1 8 g U G B 1 t d b j + L S 2 i k K M l E s F s f c 7 J x i J q I g B M g o G Z m J Q R A y k 8 / n V U z 3 6 m N m 1 E p J d H g m 1 b E 7 w W Y m 4 X r c u T u K s h 6 6 b E I y q Y X s 8 7 m s M E p W v d c R s A 6 i U T O g d s W 3 w k w E n 2 N R f F 3 1 / r c l K E G E X H U c 6 1 k 7 / 8 E x P D d m X y H a V n T B C U n O 8 j O S x o j a r w O e b E T g 3 + 9 d / r R 9 6 O H 5 q e k p 9 P f 1 P 6 C h t g N q q Q / v C D M Y R Y O I x j + 9 r 6 o Y b T u g N i r E S r C 3 2 R Q T Z j I Z e D w e J d 7 Y 9 U a R a t R 8 G 4 H 3 / v m 5 S b m 3 G Y H O E R z u H Y f V s n Z M G R x o W w 4 K E L x P t V 6 k i o L F s L 2 g 1 J U r 1 7 C 4 F F W a k q H 7 y c k J / N 0 / / h N l J k + M j y E c C q t 5 p i + + + B J + M Z U P H N g P r 9 e H X D a H a 9 e v Y W R k B D d u 3 E C p X M L v / s 4 P p I 1 m u V b x t 4 u h a N L 1 i 7 Y Z E M d f T z h g p O 4 3 E c c 8 G Y S 6 d h a q 1 8 P z n B c h r V H i 6 y b V T k A C p W b 5 e M y C I x 1 Z B D y i T V o E J P T j m h G L x e C o O l E X 4 U Y W o h + 1 X W b U k S m U 8 c 7 l r G q 7 t y 2 M E 0 P C 3 Y J E z g s r H D L G L v X 5 4 a C x O J m b Q o D z Y h 9 / e g H d X Z 0 Y H N D M x u a + y 0 z k 4 O q U f r A Z M D u 7 i N 7 e b n w u z P b U y S f k V / Z D F a l U + r e L o Z r B v j g 1 X M S H o 2 s Z a l + o g m j W h L i Y g N 8 0 q A E Z M l / M b H 3 v L l c V h 3 p a R w R b Q U 3 E i l O f z 8 v A C x E 3 Z z J s B z p B U J s o R p T v J p e K q J U L G O o J P B D h o y Y h 8 1 B 6 8 3 g G F c j I Z O j M 9 T z a n w j s m J F 0 s C 0 f X M 0 g l i n B 5 z H h w H A N Y 0 v 9 8 o x a G y x i U V T E o i B O 7 S m p z 1 8 n o l f E v z s o J q l t 8 z 5 l j u M 3 T 1 X f E D i p e n P x Q Q l P n + n b Y C a C 8 7 m l b f J I p 6 + F Y 7 U R h J 7 o G M f i M S V x d 8 p M B E 1 h M o C e J V E U B g k 4 q p h O 2 9 V n H T V h J D I T i b 6 t r Q 0 2 m 0 2 d 5 3 D Y l f n E z x 1 P B m H Y R h L x R m D 7 n x q x i n b q x O J C D J f v e l a Y i d C Z i a A v 2 m q c H x V m z y w i e F S E x h b M V B d N X Z F + + a 1 i K A Y d m L t 3 o K M i A w B E R B M 9 a j R H F H e K n P j r y W 0 y c 7 Z s V C k 8 2 w E J n B x B p / / e v X t 4 6 + 1 3 E B d H / 8 7 d e 8 r h 3 w x k F p 7 P 4 x h 1 0 5 m R 2 s Z p d + C F / R r D 0 L T j c T l h X D I v w + r N G k i l K V k s 8 r 0 R B n l l x t c 6 9 D u D A S 6 n H a f 2 1 u A X k y 8 6 d V P u v 3 H A Y S 6 l Z T g 8 S t S r D S x + F k P P 6 Q 6 V W b 8 V a B J b 5 f l / q 0 y + p / r L 8 N p F w s o T M R D x q A M M 3 2 T Q 4 k U x Z Z A u w R Z o P f / U j G q l g v v 3 R 5 E v F s V Z 3 q M I n / N O X 3 1 1 T f 3 + 4 o v P K 9 O s 2 S f Q / Q b F j A K a d O s 1 G 3 / j S 9 d a K s N a / u n H N V + P x 5 H p b M p / M y B 6 O Y H 2 4 8 2 Z F b v D v f u T m M v Z 0 X D 1 o 1 r f n L B f F a u k q U m 7 R m F R r i O S 2 R 7 c u u / X 4 7 d G Q 9 G c I j P p + D o I / 5 u M A B p E n W 3 F T C X x V 6 i J E s k k 5 u Y X s G d 4 S G V B k 6 i Z u f D U 0 y f x / P P P 4 t K l y / j s s w u I x + P q P A Y T c r k 8 l p a W k J J z G X l r Z S Z S A / F V X J 4 z s p g t 6 j M Z q Z m Z C H 5 U z K f C 7 W K 2 O R + e t F Q 7 q 2 Z M T 0 4 i I e b s 8 4 O r 8 z 2 t c H H a 2 n I K Y i e Y P 7 c E R 4 d 9 Q 2 a K 5 j Z / L t M f / + l / + U + X 3 / / G g k s l X h w u r U i n K 3 M W F C q / u b L i p G j a 9 O U Y P P 1 r o 1 l k H I a h p 6 a n F U G / / / 7 7 s P i K 8 L n C 6 O / v g 9 e r h d l p r g 0 M D u B X 7 7 y L v X t H c P D g A b j d L l y + / B U C A b / S N m Q g R u C c L i 7 y e 5 C Z d F B z 2 R 2 O T Y 8 h e E 2 a g t p k r R G O d j u y M 3 l Y v b v 3 b / i M A Y 8 N + e S s a O t x t A d 9 O N R r x U S i d b C j W D V g I m 7 G c H D 7 w R w d d e H E x I 0 U w i e D y 9 + 0 B s 2 5 z R L p f y t M P m Z L M G S u 4 4 P 7 d t Q e U l J 9 m 3 h l K A 9 O 1 S T F b I s s R h A K h 5 S 0 r o h p l y h P C X E b k c 8 W 4 Q 9 4 E P R 3 w m M J L 5 + 5 C u X z y E v Z 9 U K Y P J 8 a a m x s H J c u X s b J k 0 / i 2 L E j a m 3 W w 0 A 3 B 4 l s N i t M r a 3 i l d u h k q 7 C 5 l + V 9 D x O z y H U w + 3 N f h h B L c c V s T Q t a W I S j B x m s z k R J m k M D z O 9 S I T J v Y 2 n Q 1 a T a b e H W r m G c q o K R 0 i 7 3 8 P g t 0 J D + R 1 1 l e a f E o f / / D g n F J d / + A 1 E l 7 u E 0 r 1 5 z O c W V c J o X 3 + v m G Z R u E S T k P g c 4 q z f u D i B o 4 8 9 A a f b K s z U O g m Y h G s W r a K b Z v z L R Y x d X Z 0 Y G h r C F 1 9 8 g Z 5 e L s e o K a 1 H Y l f z V 9 s E m Y K E v h S J i P A S / 8 p m W w 6 b V 1 A q V Z A T 5 n J 4 H c j O 5 8 T 8 4 1 w P l / 4 X V L t 0 J k y n 0 r C u L K p k U I V r o + o q u M F n n Z + f V x k V / J z P r 5 7 L i C K 1 k N x G r V 5 e D 0 Y B u S 5 u O y i n K 6 j m K s J M j 2 a + 8 r e C o R a z J m X b j o u 6 / 0 0 G i f R J M f d + 9 v 4 v 4 P Z 4 0 d 3 V g x / + 8 N 8 h G G w X H y K J 7 p 4 e v P 6 X b w g T a D 7 Q 7 H Q C f X 2 9 O P P h O b X k w + / b b J m H B h I v i b + v r 0 9 p r A / O n B W m 7 c O 5 c x + j p 6 d b / b Y d 6 I x K k 5 G m I 4 l d v e R 7 M g A Z g c 9 j F G 1 K t 8 o g G p f f M + 2 I 2 Q W F X A G B N i 1 o U S x q q U 1 k U J q L S h g I Q 1 G I x G N x u Y d T M d H U 1 D S u X r 2 u f i 9 W 6 l g q u V G u P c h Q X B C 6 H b O P t S 9 q + R p c v Y 9 i o l j D b + 3 E 7 m 8 a u N g u v j C G J y p V L D r n c e T o E S F U D 2 r V m p L a x W J Z m V O L S 0 s I B d u Q E v N H m X M w q r C u X 3 4 r i 0 m 4 G W h O c S 1 R P p d T D B k K h T A 1 O a X 8 L Y b N O b H b J k R O P 4 j m J Y m c R E 1 G W A 9 e S 0 8 r W m + 2 r U d N i D 9 9 L 6 M K t 3 D N E M F r 6 0 x J M O r I 0 P v 6 a 3 H C m P 4 b v 6 d 2 o j n I 7 8 6 8 / w G + 9 / 3 X E K v 4 c G 9 p t X 3 H e 8 p Y y J i 2 r P s R u R B F 8 H g A p i 1 W F u 8 U / z 9 D / R r B N T u H A 8 c 1 i e v 3 + d Y Q X K 3 B e g q r h M M J V p p X V q t F + U G 2 7 B L K n r A i 1 I 2 g / B N G 7 B h k E C l P U 4 3 X c D h s w k B V 5 Q O x P s L F L y / L M T a 0 t 7 d j b m 4 e p 0 + / D J + 0 Z w 3 k P v T R F h Y X 0 d n R s S V T T Y r 1 w K z 6 4 W o C p W Q Z w S O i n V Y f b w V s Y z O i 0 a j S W k z 4 p Q a b G J 9 E p 5 i t 6 V Q K e 0 b 2 K O 1 4 Y 8 G i m Y B y q t / R Q F r M Q C 7 s L A p P e W x k 3 O W L C V h a Y O H T K L q e D y 1 / 8 2 j x / z P U B s i l s p i e y + D g Y 1 3 q 8 9 1 b C 0 L k F n T 2 B E V S y h c y S P l U B o G A E 9 l c C d f v J H B o x A + r 2 6 X o R O / U T e j 7 A f R M z + H g q w 9 W K i r W 0 q g 0 C m s W T T L N i F q E 5 p P T 4 R Q z S H T V F p E 4 g h k O m U x W E W I r J t A 1 E 7 V S S o j 2 v J i C 3 3 3 t O y 1 N Q W q V p c g S 2 k P t o k V 2 Z m 4 v X Y w j 9 M S D z 0 q G o l 9 H s 4 7 t m J 6 e U c / K d V U U M N R W b C M j m j Q r t w K 1 X j 1 T h C s / i V L X A U Q + j y H 8 1 O a R v I f B b 2 5 s + W v G l R t L q J T r O H t + H B / J K 1 O o C t P E V P T w w h d T G L 2 7 g N H J t B C 7 O N x C B O l M C b M L G d y + O Y 8 v v p z G V 9 f m M D 0 e W b 7 a 9 l D a I C h g N 3 n h N q 2 N 5 N E 3 o U N P Z i J U i T L R M v m y A Y n l g j I s p L I e l P a 6 5 m O d w P U g I z G 4 w G N o Y n G x 4 k b a h 9 f i o k U K D R L 5 T k B m W h S z q x V 0 E 4 8 a 8 9 N P L y D Y 3 o Z w O K x M V K Y 7 d Y h G 3 J K Z p E 3 T b 8 8 L R 4 k Z 6 X N g 0 n U I l U x F N O O j r z n S j H / v N F S z 9 t g M z W a C A k + S 7 0 g 8 a 0 w I f u a b 5 e / i k R S S 6 R K G R 4 Q B 5 L f t 3 E t H O B r D 0 e c e d J C 5 a J K X N x p a E z Y l O X 0 t T t S S 6 I p 1 C z 6 b t O H Z w R J c 1 g d b o H w p O Y c L 6 O j w a 3 N M D G V r D K Y z E I M W n 3 7 y m R B 0 E I P i Z w W E e W z i X z W D 2 o T X 4 r I G j 5 f B i Z 3 5 J O W c a E z x r / y H f D B Z t M w N + k m M S N L E + / L L i 3 j s s Y O K k b a D a l Z 8 0 Z t J + I 5 6 8 f F n F / D y S y + u D F B 2 N A v n k E M F T g h q 9 U e N f 2 8 0 V I + v h l d G S n h 1 m 3 M U Z J Q 1 r + X v 1 v + m P j d 9 F w j 5 M L S H v o z 2 / U 6 Q 7 1 z n p y y D N T I 2 Y i Z C m U J m o 2 I m w i 1 + A 3 M a P 5 1 g p d t V o s l k 8 0 K w W l i a L z J T t V 5 G N D u F x c Q M I t k x 3 L p z T y 0 o J A G S i L / / g + / h 0 K H H s L C w q B b R J Z N J 7 W L L I G 3 S z 3 G J q b t T Z i K s L j O C j w c U M + U X i z A 1 j M q 8 Z N C E Y X Z O S j P r g w G Q z Z C Z z C F 5 O w 2 z 2 y w m X b v 4 g N o E M 5 n y 7 N n z + G / / 2 X + H 8 f i E 8 q F m Z h f w y 7 9 + a / n M R 4 v f a g 3 F y V 5 W H m o u O k n n + F 5 0 Z / b + N w W S P u s 3 b C c Z c z 1 o 7 l G 6 c 6 m 6 P l n L E t Q h N 3 C w Q 1 t F + 2 / + / E f 4 D / 7 e H + M f / d k / w X / 4 9 / + + M v l u 3 r q J P / l 7 f 4 B f v f 0 B n n z i B H 7 y 0 5 / j D / / 2 H 6 g J V G t T 7 b K K E G Z a i J q m H c 0 v + j g 6 e N + V e + / Q l 1 q P + X M R u I 4 5 M D s 7 q z K 4 7 9 0 f w 9 N P P 6 F q Y P C e V d F o p X Q Z 5 X h F L W S k 1 P I d d M M V 1 k z f 9 e C 8 5 N 7 2 K j o 8 N R S j J T h C W i 3 A r w u / V Q x F A m F Y u C 9 A I m p t 0 8 + l z L i 5 + O v L U K d 6 c z C 3 K F O 8 F W j y 0 e e h t t p o l e 7 C 4 h J + / P p f K W n / y i u n 8 O S J 4 / j 4 k w s 4 d G S f 2 C o N / P i H P 1 M + 0 W v f O Y 2 K X M / p 8 c P j I J N o S + q p p S Y m x k V j H V p J c y L I T J y E 7 e r q 2 t D f 2 g 5 4 j 2 q 5 q l K s p q a m c O D g f t i t d m S n 8 6 g k K / D v 8 8 L i 2 X 4 q 0 5 2 I B f v C F d W v 1 E z E b o T V T v B b w 1 A m I Y i n e r M w N C q w W W 3 L f s G D o A n E G h S / r n i h L Q V 7 + / b b p y 9 5 J z H y p S Z F d 7 T s X Z E b a v W q 8 i 0 M n I E V k E n G p u a w Z 6 B 7 R e v w + p y v G h + f w L F j R x X z U N r T 9 + J v 7 P N m z b U e j B r S 5 9 r I H + I 9 5 + b m U J y o 4 P r 9 G 3 j u i a c R P i z a c J f 1 l 5 k x 0 b z 4 s F 6 p r 5 T 7 + r r w 9 V 7 9 E Y K l f l t h M J j B 0 8 N T e G J w H N n 6 h E r X 4 e D q E F J B q b Z a K 9 v c o u b 4 r x P S 2 1 5 H 1 F C b D K T T K f W J 4 X B G x X Y C C m 3 L j T P I V y n 1 z c i U z J h M G J D M N 1 A o 1 z H Y 2 7 l G M F H 7 O R x O J O K J F Z 9 G j x p S O / K 1 H v p Y x G M x v P f u + 3 h T f J f p 6 W k V 8 K C P 1 A w T F 0 e O W 4 W J g j j 4 7 D 5 Y + y y 7 Z i a C z N T c p O z U 5 t n q j w K / M R r K Y G j A 6 8 j D a c 3 B Y 5 e / N q 1 8 G E 0 8 / p + w G w K w N O g c a 6 k r G 4 E a a q u 1 N d 8 W n m q f h c f X p n Z y 2 A w k 1 E w 6 o 6 J h V D K 1 B m v 9 t f Y j 1 o M 0 P p 8 x o c t b U / q p G X T i 9 R p + 7 M d W G o f p Q L / 6 1 X s 4 + d S T K 6 Y f m Y P h b G 5 4 Q H C i O J f L Y n E x o i a F P / n k U z w h P p r H o 1 V x U s E N l g J Y M s D b 4 Y X d a 4 U 1 a E O p U c D 1 6 z f l u R w q g 5 6 l x R 4 V m B 0 R f n r z G o E P i 1 / 7 X D 4 W o n 9 y Y A n 9 b T J g n g p C T p G m R h k M Y T C d k W i m B K 1 D s J q 0 / D G i m R C y 1 S X k a j E 4 T F o U b b C t p m r x N S m y X x s M d 5 W Q u l G A s 2 P z Z E 1 m Y 5 P 4 m Y Y z N T u J s o n 7 O X F d 2 O Z 5 a X x m P r b X r l e F X w t q J M 5 D 0 T R j V j v N O W o e L s 1 g n 9 L E Y 1 5 d / 0 C f / L 4 q t G 7 e v C W m X E B F 6 I q l o m i x O C 5 9 9 j m 8 f h + u X b s p f t d B d H R 2 w m l 2 I n 9 b h G H N B F e v A + e u n c N U Y g r 2 N j v q Y G o U c O v W b R w 9 e n j F N O T 9 K 5 W y 3 H 9 3 R W d 0 1 E p 1 2 N q 2 n w C 8 G / z a a 6 h X 9 m Z U y g 1 N C 5 J C X W z 9 Y j 0 D u 5 E z 5 z L g j Z L 8 v u p z 0 A 4 n m j U U 0 3 Z y 1 T i 8 6 z K z x 2 I W e e 0 8 A P B 1 g V r 4 h e G Y E F w V g U N b T 0 A y C k Y G E R Z E u r i E g G U A V o t V L c d u h V j O A L 9 D 8 z c 3 g h 5 g I G N R + / C v n s t H Y U X i J i N z Y p V l n R n x Y 1 9 P R e 6 i k j a p h N c v v r g o 2 i q E J z L X U X r m T x C 5 F x V t B P j 3 + O B s X z s h q 7 I 9 S m W 5 L 8 s W 1 F U C L K / P d v T 3 9 y v G n p u d F b 9 t E t / / w W v b n o / S 0 V z Q X 2 0 c V x M / 8 2 v 0 o 3 6 t G e p Y d x k h t 2 Y E s 9 Q v Z Z N K G n W 5 c O f O X T z 3 3 D N 4 / S c / x d E j h 1 W m 9 M V L V / C 9 1 1 7 F r 8 R W / 7 5 x F P X T f 6 q I Y C v 8 O p U a e 2 k k h s J o X e 2 x t H 0 0 E M m P o R y z o r O T R f 4 f T E N i 3 Q X u e L E e 7 B 9 9 c n a 9 9 O d 3 Z B b 9 e 3 7 m i 9 p K W 6 p R V p 9 h E z O x E I O l 7 M f c 3 A L a g 0 F k 7 x Y Q F q b y 7 n W h I f R L Z t n K F C d 4 H M 1 B p k f p 5 i H v z / u w j P T h w 4 f W W B + b g R s u B J w 1 F Z z Q K w Z H L y X Q f u L R m Z H r 8 f W x 6 k O g U a / B Z a 6 g z b E a + q Y t T Z N i Z m Y G K b H x X 3 n l Z Z w / / 7 H Y 7 n m M j o 8 r m 5 1 S 8 + c / / y U W F x Z Q e + U f a o O 9 D X B B 2 u 4 N i U c L M + w 7 W u X K Z 6 x W a q g W G o q Z 6 F P q F V q b Y b e s e u c 8 h 0 E M a g E y E 1 e r r m e m B e l D f t f 8 P d + T m J k H S M 3 F r H S u B P Z Y g + h w j K A x J q b 3 U h j n P v k c t a 4 G 3 r / 9 I T 6 7 d A l n P v g I + S J X V G / d y 7 w + t d D A Q D 9 8 A Y 9 6 z 7 F n m 7 k F 5 3 a u o e P q v E V N c D d H + m y 7 q B O x E / x 6 a i h h q F N 7 8 q r z 8 o g q h 5 t m n 9 e s J a o 2 Q 5 e u y V Q S N S G k j u V s g Z 2 i X j f g z K 9 B O J 3 M z X L G 9 o 1 W j 5 I Z R I q T o G n y 0 c c h Y 6 j 8 O 9 F M T C R l f 3 A D N 5 V i s 0 y A h V J V G E e r n a f q x w n h U g D x X J p 0 z Z p D 7 Q X M e 8 g x r c z H Y q K M 3 F R e 2 / p T L u 8 W X 8 j R u W r K / f A v f 6 K W 2 t N 8 c 7 m c K J U r + M H 3 X 0 O X a K z 1 o H W w p 7 2 C I f F r m 1 G t l 1 C u 5 8 T n a l N t v H j x M v b u 3 b N j k 4 8 g g T e z Y S V b g c W 9 f a G 1 E / x a M h S J i p 1 I b G Y i 8 J h Y N K Z y z d h t 3 M f H b + t b y d X a G O u 7 W A M T S z + Z + H a Z S t X G y A v h e x + U p A w I 0 D l n W o 7 H 7 U U i m Y D f 5 9 e Y Z 5 n w y W Q s C a x n h 5 P J y G C Z k g F u 6 6 q W 0 i W 9 l j f n k P M 3 9 y V 5 D W Z q W 9 w m + P Z 7 V r I x V i C / 1 + W l v W U g o 4 F o L I G 2 A P 2 w t S X H d F C R c i d I b v W 5 G f i 8 v / j F L / H y y y + K V u T K Y J t a p 7 V d x P O i 9 Z r 2 5 F o 4 v 4 T O F / 4 9 W L 5 h R g X P D N T h j t z D t f E K P L U A Q q c 8 s B l c q I l Z o 0 y O J o e S A 6 g 5 5 g 3 E 0 w s i 0 f L o C u x R x 1 G C b 4 R 8 N S m S r 7 X T z 1 3 s u L 7 m 2 8 I T v S W 4 q 2 V Y 1 p l 9 f E 6 u P 6 r V y 0 j X 5 l D L 2 R A O 9 L S c x F V a e 9 n s U 4 X 4 / V 6 k S y Y V k C B h s 7 + U q b c N v y Y 7 m U N m O o f A 0 y 5 x 7 p 0 r j L g e F G 5 c a 0 V i Z + U j X r 9 5 y c d m 9 9 g O O O / F A A b 9 t g / E h H z h x e d V 2 e T N x l m H v j u 9 D m p W o / X r 8 X a + V Y Z i L Y i q D H x W B p s E s 9 c 5 i f 7 e D q R y Z X h d V t V Z 8 f E U r G 1 m e H w u x K + l 0 H b Y 9 4 B y 4 Q D W G 2 I y i N m 2 3 V W k W 4 H z N D e F s Z a F 7 j c D u V m P t 4 y O W F y e c 6 3 j z I w I a h N K 6 H R 1 T o i k h H b b 8 O Z Z E d L 2 M k 1 A E c 6 5 c g N + J z t O y z I n M 9 G c o x / U q q / S Y x l V C s w a N s J i 3 H i p B K / D V 3 R p S Z m J n I s i S P g 0 L x 9 2 H F q B Q Z H P P r 2 A o e E h Z V o y G q l r 6 F b I i e V B X 4 q y g I z 1 d U b 7 v t V 5 q F s f / d + o 5 + a R X 7 i G w U A F n 3 z y s Y r Q T U 9 P i d l m x H v v n U H J U A Y z 9 G 7 d v o M D J 0 c w f z 4 C z 8 B a d R + v j K N U T y N X i a O Q r s D s b C B X i 8 B h 2 v 3 a F 6 7 0 Z F Z F N P t g D b q v C 1 w G b 8 j P w R W t w z P o V p q E L 9 6 e J h T n n M h Q T m t A + Z X l f B 1 m E 7 M J W h M G t / B x i 5 I w m w x w i E T m c 6 i p B m o P Y S Q y 0 3 p C 5 J q h l D C T f 5 8 P G S t 3 D Z R j T Z 7 l X 1 d B j U R G Y v t o Y p L I u d k a G Y j X 5 L 1 o q n G l r c 5 0 f A 6 t K x + u P 3 n N c L h D 3 U P f H Y P X t V h a B x y 4 y p 0 M x W 4 S + Y J / 8 x c / w v 4 D h 1 S G v t a e R 4 d v l a H q 6 U n s P / l 7 y C 3 d l 4 G p o b u 7 S / 4 a p I O 8 i M U T I n k 8 G B w c 1 A Z F i I A q 3 u I V w z A r j r R r V f L Z j R 6 R o n Y U q x m k R E O Z H T V 4 L C H p x N 3 7 Q + l C X Q i 4 g q X c a t j 4 a 4 f c h s T e L n 6 S v c u m 0 n W Y e U A t y Z 0 J f X 6 f C o e z P R a D U x E p N d R G 0 p l F H 2 0 t F A T P 5 9 J 3 / q W D n p s t I j O W V T t M e P d 4 4 F y u A E R J X m 5 k 0 a i Y Y D W v 9 i V 9 J D L S 7 N y c y k J n m / 1 + b g 6 w N r O C 2 e f M 3 6 O 2 4 t w W w / k k e p 3 B N C b b m c A i I 9 d U 1 V u D 8 q O 4 T P / C h c 9 V z U E W r N l q 4 S G z a 7 r z 3 S j M 5 O E V w c x k a U 9 T g d S H x b f u Q z E T 4 o n e 1 f 1 / K E E o S b g C l Y z U C v G b K X i G n L B w k 9 s m l G t 5 p H M x M W 0 o K R / O D 3 r 3 l t x b D b Q m 1 b 8 p G E X z 7 F m Y Q s 8 L W k S T p b a 8 P i 9 K 1 R w s J o e a u C X Y p k v 3 v k K / v 1 s x G j U D n X 8 S K Q l + I W N E p 6 c 1 o V Q L N c S u J 1 A P V h H q X 5 u K Q z O 7 m c B T p X m 4 z E H h o r V 9 w P v o m o i v j Z i a z K Z p W S 0 4 w i g k B Q e P p 0 9 U L B b E R B e T T b q b x 1 q W G Z d h f Z Y O 2 4 h B V A 3 1 5 X E h w 2 Z z O W U G v v r q K 2 t 8 N 4 I B l / f e / x D J Z A K v P P 0 y r o 5 e x 8 s v v o R K q Q y D W d o v / W Z S e w E / P G N 9 6 6 l H R z u L s F n W S i i O 5 0 Y D R L C G W r 3 S w N L n M b W g z O w w K 8 l l g E k I k p n m G 0 v t 7 W I 0 a o L T X E I N X + + 8 x X p w D d J I n x E 2 j 0 0 9 g 8 V q Q a V a E Q 1 h R 6 6 Y h s 2 q 7 f z 3 s / N v I O g L w u q w 4 6 / O / l y I y I F k P q 1 8 0 v / n r X + D R H Q K B 4 e b d n o X s T l 3 d h F G h w l 2 v x W u b g c s T m o / L U N 9 Y S G C b C a t 5 p W a + 8 4 M E r R B l W y m i a h D Z z o y s v 6 + F X i t 5 h c j k m R a v t c X O r I u B o k + U 5 + H z e A R Z t K E A r U Z m Y V g t D K b E W 1 p 4 N 5 f m n + t g + 9 Z 8 W l 6 a l r V H W x u p w 6 b 3 a F K V 8 e S c R w / c V x N s y x G x H 1 w + / D J p 5 / y B t s q w 7 Y V v n U N d W o k q c w 1 H Z z d D r l 3 V k T 8 3 m Q V Q X M G 3 g 6 t a m l z Z + 8 G Z E 4 O 0 K 0 l N 7 p 9 j W 8 0 6 v d i Z w Z W t w W F e h J O i x a Y I F H x u b j E X U / 1 Y f 7 i j 8 + 8 j u 8 9 / Q M 1 1 1 M s F x G L L Y o J 1 A G H M F c 2 m 4 H b 4 U T k y y h 1 L N p P t C m i b I a u O Q g + M z M U 9 P 2 e m r / n x L F Z G F 1 n i k c J 1 d f y f A X R V F 7 R V K w Q y 3 k w a m W 2 g W 0 k t P Z o 7 5 O 1 K X j M 3 b A 2 0 Q 2 j m W + / / S 6 + / 4 P v I i D m Z y t E L y Y Q P t k u 2 p V F Y O j b 1 Z A Q a 8 e 1 3 7 8 m C v g w e L S 9 s w s w I b I Z Q V d N 2 f 7 b Q b J o F E K q Y z w v D r b T j s j 5 O O p F 7 W T a / 7 m 5 v A p i F C J r l w l s B A 4 e B 3 h x c V H V v C t U T T v b p + k h w M E 9 1 l V A Y S m v R q X Q S C g T l u 2 h a c Q M b z K T L i z o c / 7 g m d / F 6 P x 9 v P H h L 4 T 5 r O j p 7 M f 7 F 8 6 g E i 0 j 8 0 U O l V w F 4 S f b E e J + T e u Y i d C Z R k e x U E R C J D j v q W d S M M c u X 8 i p g I j u 9 z x K U D h w H s z n 9 a l p A a Y b + Q O 6 C a s V a 9 H f 0 / L g i 3 s o N z M T w b H b t 2 + P u l Z L C L + U U 2 X V z 4 T + N / C Y T 8 2 v P S p 8 q w w V d h d h N q w 1 q T j u 2 R b l d V u B d u 9 H o 1 b R c G L u S f + G X 2 i D x S U m R E w c b r m Q q 9 u J r h f C c I Q d K G f L S N 5 Z X R e 1 H i Q e S j m C o V 8 O 4 s l + b b X n N 4 G 9 Y S H e x S X Y e + 1 K Y n N z Z J Y O I 9 F z p 0 B t 8 n o t E y x k 7 e g O d S G V S y O z m E X m V h b P H n w K 1 q A V X S + F V F 9 s F / R J W O + u L S C a T O 6 R y x U Q W Y p I P 1 j U 8 g v 6 J f R / H j V D E f S X + Y y W Z e b Z a p J 5 I 4 R l 3 K y W 1 o G o x K 0 0 u k + 3 L l v d 8 3 Q A 1 d L O r K K N 8 K 0 y V L s w l F j S y 5 9 W w f k p g p O s m 4 G h 7 X b m T 5 a 5 J c v q o 9 i C D 1 7 T 6 r a q T a C X L o k E L m h a k U 6 w L o 3 p p 3 A + g 4 E Q D i q h Z y l / 3 Y s S H + u s Y r B N n m W g T d 2 b 0 t g F 8 Q U M L N H V Q H d 3 9 w o h C + 2 h J s 2 J Z o 3 o M Y o 2 u w u 8 s u 9 F O N v t 8 B 5 w I t j W J t p 5 5 8 R B B 1 + 7 t 0 b U 9 K U 6 w p p g 0 T U F w / P 0 p d h n j w p c K V y o p t Q u 8 F u b k 5 x A e X A s d L M w L + b i R g z P x I C N Q O F b W C h h J m n C V G I t z U W 2 s X 1 r M 7 5 V h u p w W Z G t L i x / W i V w / W W C l t L P D t M 7 T f 8 t W p h Q j N D l K W H Y l 1 W D z k V u + u 8 b g Z u A c U 6 n U h A z K h p T 1 8 + L N K a J q J W V e l A n d X + N Z t / j v X x G m q c F F Y A g 4 R L p Z F r 1 B 1 f O z o o Z u D i b w s L N L K K f R x H 5 K A J 3 q Q B 7 0 K b q 2 w U 6 A y L h E 6 J h 4 0 q 7 8 b y H B Y m b f d o M t o 0 L D / U 9 o B 4 W i f K 0 P J + M X d 0 h 1 7 Z s w V A N x M o T c s 7 k 8 m c N N E W 5 + v f d d 9 9 H W 1 C E y T K d N K M Y L 6 H 9 2 O Y Z 5 p 4 B J 6 y 3 F 9 E f W N t 3 b V t s O s A d K Z m J o e N b Z a i G S M V q Q 2 O a 5 l c y q S 3 r T i 5 M C X H U k c m V l X 1 N R i l X S k g V F 1 H N W t W E o t d S Q k 9 3 p z p + s z k I X p e + C O d F I o l F T F 6 e Q k A G Q C + n x V n 9 j U y N V s s e H g a 0 3 x n F e n q g r H a J 6 A 3 I M 4 + t L s + m y V U 2 k 3 C N M G Z F s N z N o a s v g J 4 j P n Q + 2 4 6 u U 2 H F T P q x X L X L T H x u + 0 + i Z D / p P s J O I H y t X k S z c G t + T 7 O Y k + 7 6 9 + x T v t 8 N f O Y e G K p a Y c 3 1 z L s e z N M U H Q q v n N M M J v p y G 9 T v f v d V B I O t i 3 I m b m 9 s 6 j c j 9 F Q Q x a W 1 Z e Y 4 I c x M i 2 L F o L Q j / 7 F v Y z l a C 1 X 4 x J p i Q I O B K + 7 + 8 q 1 G + Z 4 e m o R N z J p s K r v s k H p U 5 x I k F E r n S A a q i t F c f k 5 M M G 0 J Q N A 2 S G 5 U 0 o g D w e 9 0 6 A N N R m m W e N R m J A Z O Q P J 4 / p Y Z z 6 k C 9 t v B 2 f u 2 R 7 S D Y Q P D b R W R h F p C K B m d R D D + R R q O / X 6 1 V 6 x D n t N Y G U X t h g u 9 L 3 e t t H d z C a 6 B z 6 + l K L V O K d o K N H H C H i 2 D n R q f Q o p E a 7 G Z U S q U V M S P C L T 5 h Z n E d 5 W 2 U U t w S Y e u H Z r n i D T w + 9 U x S p c j 8 F r D 6 h 7 b L Z C p V 8 H 1 m D q F g F e X + j O U z h X C P / v Z G / j j v / u H K l L Y D C 5 N Y e 6 e 2 b m 9 v i h G S r C H W / t h s Z J o R 0 M N m b w X H u c q k z J I o u N b 0 1 A + e x 0 O Q x C p R B p u Y S R K F x I B G Y Q v E o / d Y s B Q S L P p G 7 A i 7 B h B u 3 1 w h Z H 4 f T M z 6 W h F e B x r b g P D 4 3 U m d A + 4 s P h J 6 3 L A 6 3 F q p I Q O I b S H Q b u r i q c G N G a a m o 3 h 3 M c X E I 0 m c O / u G G z 5 A g K 2 A k b a y 8 D F R Y T b h t B / W t u / i W k 9 Z L z t g M f p / b g b k J l 0 8 D r s S z K L z W J X w Q m u y K V p x e s z D U p f + k F N t R R d k l d U M S L b r Y O m m o 5 q r Q K r 0 Y m l P E 3 2 2 r Y L Z L Z Z h t S r m Z k I t 0 f b S u f I k c O w W R + c f 4 p + G d 8 2 M x F k p r k z r U t o Z / O a d n Q 5 H i y G U x f a K p d r 3 9 7 E 7 p N 9 X O O k S W d G k N g p 6 5 m j m T H c M n C Z a l S k N 5 3 X 1 g N A Y u I g 8 T z 1 X j x 4 T U W L x J U B p 3 / B O R t d e t I Z d f c 5 k b y V B j e 2 M N s 3 7 3 g y 1 H B 7 b e U 1 F t v O Q G n 3 f 3 F E t K b c 1 m o y w G I 2 4 P q d S R w 9 t A 9 V M R + m F t M 4 8 8 W b e P / M h 4 o o 3 r r 0 j i o h z O f Q B Y e 6 k k g F 9 l E r I d K M V C q 5 0 q e t o F 2 H 7 9 Z e h 9 9 H c y b x C Q C b S U s L 4 v 1 5 H b 7 Y b 6 v v V z M k 9 J f b 5 V b M x + P 4 z P R J e Y y Z k + 1 G L V D E z + l 8 D K W M W C R u r R A M v 9 s M l X o B y e q 0 u u Z 6 h u J 3 T I h u b x e B L N q U a 7 i a w Q 3 V d r q Z m m f I h f x s / o G M / 1 J V n t O c k P a u G n V W e K W v W D a 6 i i / O f / T N a y g O W p e n B r t Z 8 5 c o 4 b b q U I J 5 e Z H M 5 g S s D y y d f F 6 z X N G W a N O 0 M M t 9 u D i t F T P 6 D 0 q n + E U y f b C 4 / M 3 m m E m Z 8 P m k R U 1 A b + W r O K 0 1 7 H f P Y C l d R 9 D J C V q N m B 3 m C u a X 0 q g Y 3 A h 6 z H j t + 9 9 T e X n n P / k Y h x 5 7 b P l s j Q D 5 T A S 3 c O F 2 M 8 z D 4 z N t B E b q d G b h 8 1 P I 0 O S l 3 8 b z 6 I e q z Q X k f f O L k c 6 A v Q y P R T N H 6 e z z + 6 1 A h u e r m f l o J t L / J a x m 5 8 o 9 S t U S K s Y s 2 v w d c r x 2 7 F Z g g R 2 C E 9 T r Q R q K R m P 4 5 S / f V I V h m p G Z y K p 5 p t 2 g 1 b B q z N r c B h H I F i 1 1 y 2 a 3 4 O m X X v p m f S h m U / s t c Z w Y 1 K T M T m 3 9 6 X Q C f d 7 N o z U 6 O H g 0 l Z h A y U H b D t M S c + 8 v o v v V 1 v M V z a j I 9 X n F 8 7 c L K J s C c o 9 V R u 3 2 l j E S r C B V N C B e t M A u 5 o 1 X / A Q P i 5 6 Q 8 E R a s 9 i M k L s i 9 k 9 Y L t g z j 7 / 8 4 Y / x n / 8 X / 5 l i g v V 5 Z S Q c v p r R q t 9 4 P T 6 7 r t n 4 n t t 2 c u 0 Y 5 9 f I N N z N n f f g A k W P 2 4 O 6 M H m q N I 2 w a w / u 3 7 + H r q 7 u l Q V 8 P I 5 C b y f Q G F d L Y N W h F 3 Q h o i X N H 6 q K K v S 6 A 6 g 2 C m i z D q n v W i E r l o m p b o P D 2 j o 1 i J P P D G S x f 1 j f X b 8 v p 0 h C J 3 a + w l d H 4 m o K g a O r D J k q G p W r Q r B f W t H U N 8 p Q z w 0 W x H 6 u o Z A v q r 1 i O d i 6 d N s u K r U S L K Y H n U Y + I M G H 5 H V p 3 u 1 2 P Q 6 z K 1 g k x R l 2 r B V I y + D A 0 c x o X j V K Y c y o O 3 + b m E o h F 5 9 B b 3 8 P Z i Y j 8 A d c 6 O r v V I R p H b u P u X / y H 6 L n w 6 v S x q J q N 8 9 h O 9 P 3 s 6 r c 8 E a D R e T K C Z V p b j T Q 1 9 T K f J G J C D I R o a 8 J I / L 5 H J x O 1 8 o 1 q e E 4 3 z Y 5 M Y G B w U F 1 D M P g q s i k n M 9 r 8 V g G G m g 2 s h m a x t s Z O A a l E t O h 4 m o e j d C S n Q 3 i U 7 E G i K Y F d S 3 V 7 N j v F G w v l 9 t z 7 o y + O F F Y E m H d z v a 3 7 s f N w L q N L 4 v P X I y V V q K p R L 5 i h L O p N k c r f G M M 9 e I Q k 2 C 1 j i Y B c T E a Z 8 Z 1 E 2 G 7 m E 3 m 0 e N f a 0 f z m t F Y D D 4 h F F 2 a V o o V N I y N l Z D s b j q 2 I v Z 3 9 E o C 7 l 4 n P E 3 R w E K k i G w k h 2 w 8 B 2 P d i L L b B F v B g M V q G Z l g L 6 o W K 4 7 1 x U X i e 1 A r y A B w Q 2 0 x 1 5 j O 5 P H 5 x a d o Y P S d G f S c 7 l D E L I p q Z U 1 T I p G S 5 y m v k b R s P 4 k m U 1 5 C o Z Z C a c k G q 3 Q m + 9 B p c 8 I t 2 o + / l 8 u s G b H q O 7 F f e A 3 2 C f u c x 1 B A c D N r 3 R z b S O B Q y 6 y N 1 O 0 c v D / R f I 9 E n t H Z L A q V K P J l k / i V J T g c d X S 4 9 i 4 f s T O Q M S l A m B j L v Y L 1 m h N z H 4 q l 8 f L W l k Y r c O p A T U k K E j e S K y X d C p X V 6 k k b 4 W t l q M f C Y n r I 4 I Y 9 9 B 2 W v x T o U p C V d f R F a T s B a W G Z / h Q 4 c L T Z S T S 6 Z N Y J S D d 9 H g X K m Q q s H i F k a T + v z 5 d O v B P R g p i k b X i 6 P w e X Y 1 W q s Z 4 2 X w a b F u Z n V V Z G N Q v 5 M h L X 0 + g + 2 a 6 C I / q 1 l q 7 F Y O g S 5 9 t m h 4 1 z Y 0 L U 9 K 3 4 O 6 N n R m F O h 9 W t N I p m F m o + F q 9 N 5 m k W H P y d / q S u u X S w / X o 7 H l X f b A U S a a F s g M s m 2 q + W R b Y W U U x d L B l E 0 N T g s 3 W L X 7 m 9 K Q x K I P Y H G Z 7 l x n 7 1 z j s 4 / e p p E U o G + H 0 B l H I l l E W g e o L b v d 7 G K G W q s I m P 2 8 x k m + H h R N A W G P a V 0 B O g L b 3 8 x T I 4 + C w F p u 9 n t B O w c G F z l I X X I j i 5 S W 3 E n D C C R B Z b e n R J j w S Z i e A 9 S d y 6 5 o t m G / A Z C 3 h h K A 8 H 1 b A g X 0 s g J 1 K Y y 6 x L o u k a y 3 V I C u I 3 c o G c 0 2 X D j L O M x V t y X F K r Q s R + M t R E Y w u h p O I J Z X I x e 4 L 3 4 L 0 Y Q X P Z R A s v Z x V o y a J a G 7 T z 1 3 Y 0 C W 4 9 M x F s v 9 3 h X B F C 3 w S 4 M z u Z i U x O Z i J o 7 p G Z C j l 5 3 t K c + m 4 z s K 0 U B v T P M u m s E q Q M C m V z W v I z z W A G U r 7 4 2 S V 8 d u m z l b r v D w M y E 1 c x k 5 n y o q G 2 w i N h K J P c j S 8 d D I e / u q + E P M Q p l g 5 o B Z p n O j P Q X t f N g 6 1 Q F I Z q r m r U T B C 8 X v N s u T / o B x M 6 e W 0 O x K M E J b w i d L l X Z 8 C G N r k v P 2 v t E Y a r J Z G t J N S z l W 1 F j N 0 a V U s U 6 J i X 5 C / R 3 u Z H x 6 E 2 R D 7 P Y e L t R c y d W U S p L H 0 i A 9 c 3 0 K + Y h M / S / G r F I L s B i V k P 2 D R j u + O w E 2 S E m f T 8 T D I 5 K 9 x S s 3 J i m N u u O l y r m n 4 j s F 3 0 i / W X z W 5 D P p d H N S / C S Y Q p + 5 n 1 1 s f v j + O x 0 w c w 0 N + v r k 8 G o 7 n 9 M I h d S 2 I 6 a R b / a V W Q b 4 R H M g 9 V n n g P l 8 / 9 F I b 8 P P q D R h z r N + O r r 6 7 i 5 7 / 4 h T J n u C P e 6 O g 4 v r p 6 V T r P g 0 8 + + Q z 7 9 o 2 s S F Q S I T t 0 q 0 4 l u H k a e Z f M w / P K x T L i C U 2 a N w c h + D v N I t 6 f y x L 4 P Y / X z + P f 7 d y v G T q x k S h K c l 8 O Z L Z i V l M A v F Z B n p N + j F w a T l M A y U h W B I d f t c 3 b 7 s P 1 9 + d g j A s R x c R c E f M k F L S j W m l g z O x F 9 x E P A n t c c H c 7 c X l B T L p b U T m u r O r z b V Q z Y r f g 8 3 N t F R m K / c B h 4 F j w + S K R R f F p u A n 2 o 7 n n b N K I 9 u X q v z r Y f z a j G 5 l S B q m I a H W V F S 9 a 0 + h T b V s / P m z X / N y c 8 p V Y 9 J J L 6 5 n 7 R z + y I f I l G G x T / u m e k W F 4 C 3 6 0 7 9 H W f r 3 5 5 j u Y G J 9 Q y + S 5 z m u 3 U H X X p S 3 O F t u r r s d D M 5 T d a o D H n M e B 4 6 d g K C e w 7 8 B h f H L + Q 4 w J A / X 2 9 m L v 3 h G c O X N W O d / c A J m m H h n g 8 K G D q s P 0 T q O E 4 X s O r M 5 o 6 8 F c K c f y Q 1 H j l M R 8 q s p 1 u f c r m a m Z C P R r q 5 c Q J E P 0 H B g O V k o c f 4 e q R b c 9 o u H g 8 n 6 s S M t l 2 V z a w N W k x Y o w 8 1 I E X 1 6 + i t 6 e b s z N z m E p l s D k 1 A x 6 u 3 v w 1 b V b 2 L / v A I y T l 3 D 5 8 y x O / s 4 + u H o c K F i F 0 c J a 3 t 3 S p 1 E c O u k V c 8 g A s 7 S T r 1 4 x k / M + O 3 x 9 D q Q T d e R u J u W 8 t Y G Y 3 Y L P w T 4 w G R k Q M o D 7 9 9 I V 4 z M S j A g q w c E h k K + 2 2 0 e t w C v W 6 q 0 c + Q Z u R p I Y m w u L z + s U X z E D F q 1 K 5 Z e E T p i 3 W U U m l V N N 0 O 9 P E 5 s b u h F s K m m E U x U c d 5 r C f K U u 5 t A h P i n B 7 7 l 7 B 6 O c I W E o B m Z 2 G v 7 X w Z J j y b s Z e M J b r 9 5 + 6 K A E a Z 8 P S C H K 9 M F D v a O w i P S 1 G V 2 w g J L O p G x b n U n U z Z Y H T 4 c u + e f n F 8 U k 4 h b 9 D w Y S W B W 2 2 a z k P B C v w + u u P 3 Y j 6 G Y f i Y c F U G i m b e d c t o 8 v H n v + k w t 4 6 Y V n h S i l v Y s R e T 4 o g d H R E V b m R U S + Y 5 i Y N Q 5 Y J v o f / 9 m f o Z o t w 9 C U t 8 t 2 c H B J L A s f L 6 H z + Q d 9 S d 6 P x 7 E v L s 0 5 0 T s 2 g + 6 X 1 + 4 E v x 3 U 6 u K / C V H r 4 D U 1 Y q Q 5 q U X 7 2 B + c F G W m g Z 5 g z M l S Z h + 0 6 p 9 k a V a o r A a v q U e N 7 3 p w 5 8 B e X 1 X o g J O 6 D 5 L X b H o K N 2 b E 7 F u m i 2 M D N 6 U / t e O 4 P q 7 d O S D P v 2 q i s 3 3 U T i a 5 o M U o P q X Q A f t P 9 x + J x P 0 U / M N e 9 Z s O 5 m 6 e O 3 c e L 7 z w / K 4 q z u p g 0 + b e X 0 D v d 7 Q k 7 M 2 w e / G z D J 0 3 G H n j n k s + a w B + S 4 8 q 4 c W 1 / 2 Q m g p 2 i p K B + Q h M 4 a H x 1 d X W o d K F W y J T W D h y 7 j b a 0 3 q H b A Q d A 9 0 H o 2 G 9 1 r m r v M p h k S b x y 6 g X 8 6 N / 9 B G + + / Q 4 6 w y G R f i H V 9 r 0 j I z h 1 6 p T a p 3 a v m L N / 8 s d / C L f T j c R o f I W Z d I Z m G / T + a F R W z S H z / F 2 Y a q s F a 9 g + v p 7 q L y N 5 o B v T 7 8 w v / 9 I a v L 7 O / E S h m k G s O I l k O i b S P 6 o R p d x b 7 2 / 2 o v 6 Z w o X M p H e J z b q x o C E z U r N x V x M d J L r b C 9 o 5 + 8 M V F Y B o x U z J y j R u z A 7 D U N P 2 / X X Z x I c y e R F 2 D s F m s Q k z c W 5 M E 5 L 6 i 8 x D k 8 3 r 9 i j L g p + T i e R K f 9 a k D + 0 + 2 x p m I q i J 9 + 7 b + 2 C V 2 x 0 i V z L A u U H C 7 H o 8 8 r A 5 y y j v F r p U J q F p k 4 q r H V S p N Z T m 0 8 F j W f f B Y e d u 3 5 s z x n r w X P p V 3 C l 8 P T R C 0 4 h T Z y i V V S 2 i R 8 8 w 0 M / l f X U G 5 f y K 1 y Y m p d h P F A p L E f F R s h 5 4 9 7 n V Z K q w p 7 z E E S + V 1 Q C z B k R 7 s B 1 L 5 + P o O a 1 t y E z h I y w m h M B U I e 2 l X 5 + P W K h a E D 2 / g P B R 3 0 q p L x 1 8 p l Q y B Z f H p Q I m g Y A m k Z f E J O V j t I d F 2 4 i Z p z H p 5 n K U 1 2 I S K 2 v + 6 f 3 R j G I 9 p S a X W W + e g p S B I o c w D 7 V 1 K / B 6 R K m W Q 7 I c x c 3 R N j R s I Q y E R J t 7 t U l l 1 M T p t 7 X O h F g P N f Y M T A i N s H 8 W L 0 T R 0 W I j t c m l G 0 j N 1 d E e C i I g G o q 0 s l t E M w a 0 e 7 Z m l Y f W U M 3 Q 0 z J 2 C w 4 2 J + r Y S b r 0 0 W G m v S 8 S R w 2 2 v L g A j 4 7 o T p l J B 8 0 d + l X N I L P o 1 + e C Q 7 a B F X n o B P N e B B n F a t d s a Z 3 Y e R 7 X z P C v k K s m W a d s C B x k o R H p F 5 9 P B t O p M h S C I X G Q A / 6 V Z f a 5 c E Z J U o J F J X m / / + V f / i v M z m l 7 N B H n z n 2 q m M L r M C L f m 0 X O 6 c S 5 W y b M X V g 7 L c D M b b P J r J g p t h h V u X 9 c E M j n M R m 0 p e V b M R P B P i U z L Y o J z l Q l n t 8 M i 8 G H S N q K S M 6 o T H 2 X + L U a M z W w V L y v X k y t 0 u t S L M 4 v K C E T i c 3 I 8 T U M B u d x t P 8 m 2 r 1 J Y U S P q q t Y N O x s i k P 3 h + b F Z G 7 F T I T b 5 8 D g U J / y z x l s y Y s J v l u U G + L v b q P 2 x C P N N h 8 K V t X O e L u F L v H 5 l 0 T G v z r D W C Y u I u / q x N L i v J q Q Z N i 0 l f T c C h x g + j p W O Z + b W / M a 1 A 7 6 / c h E / C x 8 o f 7 y G K U 9 l l 8 0 i 8 j 0 W T G f K C E 5 r 1 I p V + G 2 1 B A v i F / S K I G p / I 5 2 u 6 o b q K 4 l 4 F 9 u j 8 n 0 m E q Z C x 2 F m B x O u E U q 1 + U f z R W 2 I S n a x W 5 3 i F b L 4 N P P L u A X v 3 x T / W a 1 O f D z X / x S 5 d m 9 9 c Z P M D d 6 A Y 5 u N 3 7 5 x h t 4 / P g J / O v / / f / C x M Q k D h 9 6 T P r Q C L u Y R h V z B v l G T B j N D o d F q y K 0 H b C t P J Y L L y k g a C q S g N N F E + w q I F e X d j d U V V o d 7 A f 6 P Z w q 4 J o p V v H l n l G m u k s J E A o w r z O o h J j R y n x C G 1 y W o J q T s r J 0 m P h 6 9 m 1 O 7 L K f K L z K 0 T L 8 e 3 0 b b 5 8 q p O i w u d S c G / c j 5 j m a W b u 9 f m h G v S E W S L s F q f u Z T b P X t x Z X O 0 C P t 7 X / s 1 3 w Q U n g S t L L e 5 0 Y i c r g E 2 p l p C 6 1 d 8 N M B M 9 n m F V Z Y E 3 g 9 f j S Q + / 6 i + 1 Y P w B k O k p + n f k 5 o C p T 2 y l + g z D Z 3 L U F V S 9 Q B 4 m N c 1 A W e u k C T t Y y 4 t m o i G n r t c J i s y h G 5 3 P T 7 x r Z s w d n P v h A V c 9 l d C s U C u O D M x / g H / / H / 0 i O q + D w 4 c M 4 c u i Q a E 0 T / v E / / D N 8 d u F z p f G O n z i x 3 C Z t / s p v 7 0 K 7 Y 1 D + d q 8 8 A 5 f a b w c 8 n o z J N l X r Z k x M T s E t j M B 2 F k X i 6 3 O H z Z b E Q v a + n C d 9 b B b B I w z c 5 d s H l 8 u h 2 k T t y D a 1 u b s Q c g 3 B Z Q 6 o L V q 5 l a t F f G 2 f b W u H v x m s T J U Q o V Q 3 a K Z x K z j l H p V 6 W S V g V 4 1 5 n J E + 1 M z v n Y N 1 R c w u 6 d M D X k Q v r c 1 q b 8 a j 8 a G k 0 8 2 i y l / e u 9 Y 0 a A a L y p A 9 l m m q J d g x H M A f / + Q X K t r 3 y q m X F F O V q m J S i f / g t Z Y R j 0 Z w / u P P 8 A d / 6 / f V 4 B H 6 a k 6 H K a D m f z a D t o x B C C u b 0 0 w k G W T W N r C a 3 H B t c S 4 J i N q J 0 p r t 0 h m e 1 0 y l 0 r D B j s m r U x h 5 f g T j c R v 2 h b U s E U p U v l j g h I z I e / I 5 c 9 N 5 u P t X s 7 r 5 4 v w K H X x G N A v F s k j W n A o J k y A 5 n + d 2 2 U W a 0 8 8 S n 1 I I d 3 y u i q B I X 2 u 3 V Y W b a 9 k K a k k x w c z C E H Y T L E 6 a z w 3 E r y a Q H W x H 1 m S H f S q O A 0 + 5 5 J i 1 8 j Q 1 k 0 F h v g i r z 6 L V j 5 e f x 2 Y W M d Q b F v / O K H 5 s B Y t z i + j t 6 1 X H c 2 K V W o z I V q J q w w C L S 7 S 6 q D G r 0 Y G G S Q t a 2 I V x X C Y t a Z X 9 w H E m w 7 I f d o v Z s 4 v o e F 6 7 J v 0 p 7 v u 7 k T n L I j B c J T x + b w Z 7 e 4 + u J N B u F 5 d n z D j e u 5 a 2 F z + L I n w y + I B 2 f C Q m H 5 3 o Y f s 9 N f D K w V w H q s v b i 2 Z 0 i Q O 6 G d j Z s 7 N z a q 7 n 0 q X L e P a 5 Z z E j n 0 s i y W 9 e u a A 6 7 t 3 3 z 2 j f C R E x W z p Z G Y f L G F R R R X u L o v b N y F X E B h b G 5 H 3 I D G Q M D i w l J Q l g K 2 j E w K U R G k P o D M X 3 D F T E b y Y x / P y g f A + E P N R s m i J k 4 U b O 1 j M s r Z / D v 5 E v 4 y t L 8 J W m k x e v x b P M 4 1 / C m p w B 2 v u V 7 U + z j 0 z G Y / i 7 u r Y c 6 x W 6 N 7 m N q k x W V j S B v 8 2 q K i D d z j n R 1 y 0 + j k 0 0 g 0 O 0 V p d H x s e A w b Y 6 Q n 0 2 3 L o u 5 p J L r i O M R w L P T u c w G i v B 2 W / F 4 m g O Z X t N m U e h g F v 6 i c 8 r b R a C Z Q F K M g L n s B h c i S 7 F l H Y 2 W w 0 i N P N i a m q B G 5 p w a r s h e X Z l A o u v x L a X C y I U b 6 a Q u Z 8 j Y c A W 2 F 7 0 r B n 5 x Q L a D q 7 W z + A 4 6 p Z L K 7 C Q a q m R U v e / 8 s U t t I d C K t B k E W t E 6 8 / N Q b r N M u e w i f + Z M M 2 M d g 4 w + 1 j H I 9 F Q Q W c F / e 1 j 8 J o 0 0 2 K 3 k o c D S 5 V s s 3 F n C D E V V L p / A 5 F E D E F v Q A U K 5 u f n 0 N H Z p W x x j 9 u p t B M 3 r W a o f i M w 8 h Y r j Y m t 7 o Z T m I 9 t 5 G u z Q W g F D h 5 N M D 4 f B 1 F / T k U 0 8 l o 4 u 4 T e V x / c Z T F b N I h / I N J 9 Y V E R Y i g c R m F W 2 j + w l c + g M Q / v y + d l m 2 m + E B r j a c j n c s p n I s E T e r t K I l Q v z 4 h m t x t E W 5 b F i l B f K 3 w 8 Y U P Y X o R J f L V o p I S R x / 3 q u G J V N O G N u K o O p f f T R u A z s x 2 V e g n R z B Q 8 z h B 8 9 i C i p V F p 8 6 o Z V p G G d P v 2 I 3 I h h r a j f h h t m j n P / m c B F d + I a O B 1 2 n I z x E e T a N u j Z T 6 w b 0 g 3 N N U 3 a y v B g M + 9 6 W u 4 c u E m 7 F Y 3 T p 9 + e d v z U 7 M p E 3 p a 7 V F M 7 X 8 r i e D y 9 k O P R E M 9 O y g S S g y e y c l p l b X A z p q e n Z e 7 c f 8 h L S J W F k e V k i 4 a j W O j 6 p 4 c o G x W 2 6 y Y 9 j v F Y q o 0 i 0 K t K F e 3 i V T R c r g s w m g O + V u u F 2 U w c w h Y + 5 e v 0 B q J y q T q 9 F y 8 L i Y j C 7 W s L T e 8 X b B 9 Z C g V E F H n a 0 T A 6 y g C s Y k P 1 m J / 3 F r D o E x d p v r w x V 0 9 q o k a f v r e G z h 6 R N u E u U H i l X / 6 s n E V p 5 f n 5 2 9 6 x j g F D e O I l y 5 f k X 7 2 4 f r N u + j s C C l J y + f j s c 3 C j D T a 6 x e N 5 J b f 1 j 1 q v 1 / 8 Q N F C v o A F / m B D m E E P 8 o j U T 5 V U c d C t + k d / b o b 7 P c J I D o t m v n I b T 7 c 1 q H a n V 8 I m Z U Z l w o D g i Y A y R b n K g N Y M f U u u O S s l y 0 j c T C M z m l X J x A Y Z e 8 V g 6 2 7 P Z 5 x 9 f x G d T 4 Y U I / N 8 4 u L N O d x K h D D U z s C S M F x e 6 K N F 3 h 0 j o A 6 3 D c F u F w a 6 R k R I i U Z e 9 v G 2 A o N t G R G M 6 3 c z o e X A Z 5 j 9 M A L v o G t j D e W q L a J k 7 Y T X X E K 8 t J p y 4 R T V b p V O s R h K W M q J L y E P 8 P y g q O 9 G F d w U z C t E f m c p i 6 7 O M C J L U S z J i 4 S R S K Y U M T I b v L + v D 8 e O H s G P X 3 8 d / + l / 8 o 9 V 5 x C U N v N z 8 2 o 3 C e b J 6 Y i l 8 q j A g U 7 f 8 g D K a y d I i o / E 6 k p V 0 d C 8 r t 6 B X O h G p 3 g n 0 L U F r 7 O + H b V 8 D S b x W d Z D + E d N c p I g u P 0 L 9 2 b 6 q 5 + 8 g W P H j + K 9 9 9 9 X + W l P P P G E C K Q p P P X U S X U c z V 4 K F W a E d 4 R D K q O 6 U M z j 3 E f n V C Y G u 2 x 8 f B x / 9 q f / Q B 3 P P i T x k i m 2 2 z 8 8 j + e Q M Z o Z c S Z h g n M 6 h s B h n y I Y g t f P i s + X m 8 n D J e Y O / 3 Y + F 0 I + U k B y L C l s K O d 0 O N R W p l y U l y 3 H k V 1 M o T g q P t X x k q h R b g 0 q 7 Z L r c E 6 I 9 2 U 7 e d / 1 j K u m L M p 1 F U A p x 8 u o i z C m 2 d g Q o m 4 U G w i d b F P p Z A x M 2 M o O u U 9 W z Y v Z h B k r u a r S / B f L b X h p p P V m 5 I z y / v W b b + N v / O B 7 S k N t J T i a k R a m a h X J v h 8 1 o 3 w 3 s X G U b + z a W f j N G V R S o x g 9 / 3 + K 3 f t z z H 7 5 I 8 x c / i s 4 S h M I + Z 2 Y + v z P c b r 6 A e I 5 c Y 6 X F p U 5 U v M E M T Q 4 g B / + 6 N + J N o q q a j S j Y 2 J u i Q H a 3 d W F H / z g B z j 1 8 k v y 3 a h I B y 0 5 U w c J v a u 7 a 4 W Z p i a m k M 5 k 4 L I Z 4 T Y t p + j v k J k I n 6 V X 3 Y d b w T S f v / 1 u 1 K D M C / E X 9 W p A z W A d 8 V b M x H M a o m H T G U 2 Y U J v w 3 E b d h H 1 7 9 y g / 5 Y V n n 8 Z b b 7 2 N 5 5 5 9 C j / 6 0 V + K r 2 R U m q e v t w f B 9 j Z w n y y H 0 4 r 9 + / a r o M j + f f t U c O K Z Z 5 5 e Y S a C T M j 2 0 Q x O l K f U d 5 u B 5 z X 3 v w 7 m E t I 0 u / p p T n y z F K b e n B P u A z z 9 L s V E + l / 6 D 9 Y 2 8 Z l 6 a 8 g E U 3 D 0 O Y S Z R P j K N e 0 G L 9 q 7 + m A / K c w k 3 c L J V Q Y D W F K a B D w 1 P a 3 + a u 1 f 6 1 u T i c 1 2 E 3 z i X 4 a e b E P H s y E V N e 0 e / 5 f o e C Y E Q 8 2 A 2 X c X U b 0 F + P u 8 6 H 2 y G z 1 P t 6 s N E b p e D K v C O 4 9 b l z Y d 3 5 q M y 8 1 r 1 0 R g 7 W x u i s z 0 Y I 8 B I + 1 V P P a c + I m t N J T P Y c D 8 1 T f g b Q v h + t X L O P r 4 S U y N 3 U F X T y / y 2 Q x C H Z 2 4 e v U r s Y 1 L + N 2 / 8 w 9 w N 2 L E 3 q 4 0 B v y s e L M N M l X m z O Y B C p 1 Q + F f X K I m C R Z z 9 V o + z O Q q V j A y C 5 r h S S r b K P 9 s K l K h k D g Z G W t X B Y P K k f 9 9 q U E R v f y a T F h N W q x U 3 m b B g K K i Z Z v N n I 6 p g 5 c O C b W L O G k 0 o X d q n 6 l N C w 1 b 4 r V o 0 b i M w w M L A A S 0 L L T N F h m b Z j N V R q d S x d C G O 8 B M B F d x o B p + R y 2 N 0 L c a + o S 9 D z M 3 N o o g k r O K w 2 1 w W e N C z o t X 1 c a W / z P M Z b d U D R C v m l 7 z n V X W G n / l g A Z 4 T Y o Z K 8 1 x O j c 5 4 D f 7 l M 9 A E b x Z y 1 a y Y B R Z h z B Y 7 z v G a 3 G n k z P s f 4 p X T p 5 Q L s F 5 A b g Z W h e K u i K 2 w Z V C C f d U b N C O T L y E h t q n H J g S 6 + B X q g W N q M B 8 L L G I q H 8 L x v r z Y r d t P 7 b D K A 1 T k w f Q O W w + 9 0 / V B Y k d P x s U x D N R V O a 6 d g m 2 N i I n Q 0 b m 9 j Y 7 X g + 2 h d m D H 0 8 9 Z z 5 R L X 8 b U L h c 6 2 G 6 e w 3 v p h H I n Y s L + s O b Y p s e z 8 A 7 t f k U p G Z w a j / d g 5 I 0 T 0 L z P d s H I r J 6 Q S s K u O b i R d w B V 5 O A y d q h M C R 2 5 k h G R l P h z d 5 b Q f c K 3 s g k B + 3 Q p N y Y W h G h R 8 a E Y O d O / J 4 P Q p L Y K K 7 E O n 8 V k X 8 4 2 W W 0 j 2 8 D h 5 z P o 4 6 w L q v / 5 f / 3 f 1 G q C P / z D v 4 2 B g X 4 x 0 x J w y D U q h g p y 4 m f 7 x U z m R D b z P 3 l c K N S + R s g x y h i 5 t 4 D O v b 0 r D L 8 e N P 3 O n / 8 E L 7 z w n P L 9 u e f w d s F 6 n 9 z 9 p d 2 p + W 0 6 t g x K s M t T + T q K F e 1 m 5 M 6 6 v X N Z 7 T X w W E 8 D o 3 E X R k J c 1 f g g o V J B a r J m H d 7 7 1 6 I n n 5 L O b K 2 p y E w E Z + n p e 7 H s s q W R Q y G f U x O L H I D 1 + X 4 c m I 2 I i g T o E A n Z b L N z 4 H m f 7 T A Y z + H 1 G c L m 0 o 3 1 E i 0 z m l O F M w l e d 3 Z m Z i X 4 o R / r F 3 N B P y 1 + L f n A X s H b B R m A F Z 2 4 o O 7 z z 7 / A / v 2 c Q N 3 4 W n x G P j / b r 0 G b x 2 I R F Q o J a j e P M I X V J B q g b h R / b 2 3 Q i P 5 f 3 T I m p p Q I 1 p I P N p b P N j T U M p y g t w s G E 2 s O 8 h w K S M 1 0 Z z + 7 L G 2 i J B y Y m 5 m T v l h b G Y q g N m T f s G 1 E 8 9 h c v 3 F L U c 2 N G z d U y t a 7 v 3 o X 1 2 5 d V / m b n K B 9 5 Z V X l P 9 z Q 4 5 j g c 2 u T k Z X V 6 c y V K C k 3 Y f E t Z T y 6 V o x l Z o W E P + U d d H 7 B / p U 0 G e 7 o D v I l C t x 7 V Q 7 d b J 7 q L B 5 k H W 5 / U V x y B p 4 d q A 1 U S Y r Q l j i w x B 6 Z 6 m B 5 f u V A R a C l 2 a J M b D 8 S S P K c Z F A n L 9 h k c p w K K w q J Z G 5 7 t 6 9 j 6 N H j 8 j A r T q 1 + j I E f f c M M h t f h K 7 p N O 2 i p d X w + t F Y F N m 0 m L D h s D I 7 7 F t 0 K M / J C U O 7 n N q E c D O S d 9 O q Y h H B 4 z J y X W q O Z m Y t i w D n j i I D b T X M f y g m 3 w 6 W Y 2 h C R f M j 5 + d n 8 d V X t 0 Q q t 2 F s f A J / 9 E d / W 2 1 D 0 w r s E z 4 / p X i 5 S q G n m V x c i s 9 1 Q q 2 0 7 X o I O y F e n l C V W y k A p 9 5 f h O u 4 R W 1 s p v e p D l 5 b H 2 d d K J J h + N 3 6 P i N 4 D A M v N A e b f z e q S k u a M C 6 V t A x 8 R o m Z z 0 k f k 9 f U + 7 Z Y L M t 7 b b k G h d j 6 + z C 0 v X B h C e 1 H A 7 C 4 1 0 Z h u T 7 v l 2 + 8 K b 7 9 a 7 t e 4 s E N A 7 h T i 1 G E z E O F z Z 8 e K K F u n F N z L F 7 b g w v g 8 t U k / u 9 / 9 V f 4 5 N P P 0 N v T Q / k h H F 3 H t E i s N 3 7 5 l g x E H d l 8 F t l M D n / x b 3 + E 4 T 1 7 1 I C Q g d j J D H N y k + a R v S M q X Y g F W L w + n z i 4 7 b h 1 + 6 7 6 j r P z t + 7 c U S q f Y f U P z p z F / f u j q r P J c H p E L p v L q n Q Z E i V n + P n 3 3 X f e x 7 F j R 9 X O d 0 N D g 0 p i E T w n n U u i W N C O 5 4 v h f J 0 p a Z o 0 E 5 H a N 8 k g R F s v o Z j X V g c z A E I i 0 l 8 E p Z r f o U k 1 7 v a Q u J G C r U 2 O 2 8 A k I U g 4 t P e p S f 5 a + i w h p k / A H 8 T j x 4 + o T b 5 H 9 g y j w G p H Y k 7 R z F o P 3 p v X o E Z j 3 W + 2 n S + X 9 I n u T + Z r c W S r E Z g b r L z 6 I N G T q A u 1 h M o y Z z Y K 2 3 7 / b g o B E V h W Z f 6 t t l 9 / V p p z G f G 3 e S 6 Z p l l T N 4 P f 8 T d G 7 J q X 5 J N x S Q v 8 G / 9 K f E S 1 w J L M q p 1 D u t B M R p r V m p D g v d n 3 O g P r b W H / G j v c 4 s 8 Z k L y V Q k r 8 X b P H r L a S 5 R z e z Z u 3 c O D A v p X x 3 y n s F q 6 E 0 K Y p H k p D c a k G y + R q 6 r 4 1 / s X / 9 C / x p / / w P 8 L r P / k r 1 e D r 1 2 9 g Z G R E t M x d / P N / / t + o j Y Y v X r q s k j p / 9 d 7 7 O P T Y A X j F B G F Z K K 7 R e f n l F 9 U S 5 v U g k f N 6 R Z F e 3 A + J 7 6 k Z S P h k S L o H T E B d S s a w b 2 g E H 3 7 w k a b t R E o z W Z K D 8 P 3 v v 6 a I 8 K / f f A f f / 9 5 3 4 A t 4 E E t E s b A 4 i y 8 v X Y N T b P 8 9 j 3 W L 5 L F g S k y 4 / s 5 h D P T 1 q b A v i Y D b b r K K a y a W Q a a Y x V f X r + D k k 0 8 p 4 a E T N w d Y H 9 h W W P h k S Y u Y b Q D u B f v O 2 7 8 S W j L g 9 K s v q 4 A I s 1 H 0 l B 8 y 2 / V r N / D Y o Y M b S l j 2 C 4 9 j e F 6 X 6 q 3 A j b G z 9 c U N a + T V G y x L J j 6 h / O M 1 J 6 9 l M H h 0 r R b W Q S b i Y k u a V A T 7 Y K N 7 k w H 4 4 p h S + D U f J 3 y C 1 F g K / j 2 r B S c p Q C Y W p z H Y 0 Y P L t y 5 h P h X F 6 W O v 4 N 2 L 7 + J 7 T 7 2 G 8 z c / w f d O v L p G U 9 H n W Z / 2 x u y S v C W L d 8 + / j 7 / 5 N 3 9 X a V z K B m 4 u U M l X k Z 8 v o r B Y Q K 1 Q U 8 9 s s B t h c X C J j V z L a V b 7 j R l t a 4 X E r h m q z V n D i d 7 V B W a t I R 0 v j i p D 5 p V q T W z u p D K Z / F 6 / d G B V K X Q u U + j t 7 l R a x S 6 m 1 G B / j 5 L G q k 6 E O N q U w u t V + F b g Y M e i M Z V 0 m k 5 l x R S I Y X C Q K U F r H 5 5 V U 6 m 5 z p 7 9 C M 8 / / 5 w i y F g 8 i n / 3 l 3 + F P / i j 3 0 H D V E T Y q x W D T G e S Q t w Z f H H h S z z x x H F F n D f F f m e E q T 0 f R u d T 7 Y q I a H b Q P 6 E W 0 C a o t V H U 0 3 Z a S W m m 0 n A O Z z 1 0 7 f T G L / 4 a v y 8 D z s V 1 r c x S 1 o e g X 9 X f 3 9 9 S S 7 E / q J 1 1 E 3 j j / m w g V 0 m J 7 7 N x / Q U 6 + 6 x 8 S 4 2 Q K 1 R h z F X g D K 1 a J / x e 1 x A a k + R F C G i T x H q h y 1 a g t u E q b P Y T + 0 z v J + 4 6 y a K j z V o 8 V W w g E p s W 4 m 7 D Z 1 f e V r U J X 3 7 i Z S X g C t U i L t z 8 H H / 8 0 h 9 s i 2 7 Y x o k r U 0 i k Y t g j g t 7 p d c L I 6 C A j m p s I Q o L z Z a V Y W e V k s l Q c m D + 5 W 5 O v x 1 d f q W S z G T g B R 4 6 l r e 4 S g q g L 0 b G 8 0 z v i Z N I Z 7 u o M 4 c O z 5 3 D 8 + F F 5 3 6 H U P o m R 6 2 e 4 r F x d o w U R b g a a C T Q t y T D c I Y I 7 8 X G X B k r 3 5 h c H i c R W y B X U P R h A O f f R x z h 0 f A g W + o f B / e p 7 v r i e y S 7 t Y p 0 C n r u w s I j h 4 S H 0 9 v b A Z X D B 3 + d T E v b y p a + w f / 9 e V U u P C b h M m h 0 V Y X H p y h X 0 9 / U + Y F Z Q 4 M R v J O H p 0 y J + Z S E I 3 e w i c 5 K Z f u / 3 f w c e r 0 c J m F Y g s 0 x N c g f 0 r u V 0 r b U g 0 a x G K P k i o b Q i F g O s J v F T y y k V l W s F P f C k a d 0 G Y l + l 4 O 5 d T U y l U G F 7 y B Q k a P 7 l s Z z v 4 W f e v x W U D y y 2 c C a X X l k y Q 8 K p 5 i u q 7 n w z s i U T 7 s T C i O e d c H m P o q 9 r H / r 8 J n i c b g R c X j z W f 1 D l e u o C Z D M o R h f z b 2 x 2 A h 3 9 Y b j 9 Y n Y y J r 4 F M x H q X J c Z z i 6 H m u z m z v o 7 o 9 Q m l K t b 3 7 A Z q t 5 C J I I P P j i r f K H f / 7 3 f E d O I e x 8 Z c f q V l 5 Q z S U L V w X o G J M b d g G a C k h g C m h B M F d o I Z O C R / S K Z h N l Z j e m l l 1 5 A V 3 8 Q H p 9 T J O b a p Q 6 M E l K L 8 T W 8 Z 0 j 9 N e V M a r M B d i 6 X Z Z w 6 J S Z q K K S W U 7 A U 2 O D Q A E 6 I R v P K M 1 N 6 0 z / T Q W a O p n I Y M 8 d x 5 + 1 R V Y e i Y a i o i d m y m N I E t R q 1 D l c L b 4 b p m V m l b S k U 1 o M M p B O 5 h o 3 H T m X u N 2 m D z c D D U i I 4 q J H 5 L G R a Q r + P 5 j t p G o f Z 4 D r s k V F x E x 4 k v X K 1 r K p E 6 U y 3 c C E K d / / a q Y X / 4 S / / B e a j N / D K S A F B 0 y h u X P s X K B d u i 7 Y s I C Z W x P j C N P K V I i a j U y h S 4 6 0 8 8 8 b w i G B / / P G j Y l q / K 1 b I w 5 U c 2 7 W G 4 m L C r c o q M T r E + n S 5 b B F 3 b t 8 D d 9 g b G d m j G I r a i d K a L 3 3 C T w f f 6 1 L V Z n s w R L 0 V e C 4 n V J m J s Z 1 z H U z E N Z l V 6 J S E X z F m 1 P d u c 7 t i l P V Q z L N M 4 L F r I q H 7 N J O H 5 l i z U O C 9 e R w Z g q t 2 z 4 o m Z h 4 i t R e 1 G d O y z p 8 9 i 6 O H R v D l 2 F U k 4 j E E A y E Y y n Y s x e f x w f s f 4 / i J Y 0 o 7 U W s T X I r A 7 O l m k J F p G j M g w 7 / r t S A J n u 0 i g b N N + Y p p T e a 0 D k b y f O Z u 2 E z b C + e T U Z P S b 3 5 p D r U 9 6 z z Q 9 O T 4 6 o G c m o F J u V Y 1 l r w / z b 6 G N 6 x y F y l g d L C b K V w / v l O C j L q 4 F A 2 Y r d J / 6 6 J y M + L f X r 1 / F S P d e / D F n Y 8 w 1 D 0 o d G j G 9 Y k b K J T y u H z 3 i m i b c S z G I 0 g X x F x 0 i 6 C 2 r K b O t Y J J x i i S j m K 4 n 8 V h x G K p l e E S i 0 Q H i 8 5 c H b 0 q P l t Y i a L r 4 z f R 0 S Y a U h j Y s c 4 E 3 7 U P t Z 3 a E d n a k t i 6 c / A a e 8 R 8 S S r z a P 1 g b w Q + G E H i X Z W s 2 w M H j u f z P B L Q T h m y X M s j V 4 t u m X T L G u f p 0 S w 6 n m 2 9 B L s Z 3 O m C N v f b b / 1 K a U z 6 l N / 9 z i v q + V w u N 1 j u a v 7 D J V S H i z j / 8 S f 4 o 7 / z t 9 X y C D I 7 f a c K 6 6 b X Z 5 U G M g n B + a 1 r s + t p 4 l B D 3 b h 5 G 0 e O P K Y 5 2 E 1 g V g T N K t 5 P v c S s P D 9 u w 6 k 9 W r E U D S S F j b U T 8 / O 4 P 5 d u k l J w X Z u 3 Y q A e h 7 f H r e p Q N M 9 F R k v j 8 v 8 G 3 M Y Q J s c j Y s p Z R a C u 5 k 5 y U t X l 8 W L / P r E Q R I O R w T h 2 9 0 f v w z 3 n Q + 8 r D 2 b u N 8 M s j K I X D Z 2 f n x e T t 0 e Z + w T / c t y 1 j Q 6 2 I H F h 5 I + u f Y p 2 p x + 3 p m 6 J l p v A v r 4 9 i G d T e O H Y i 3 j z k 7 e Q K + b R H e y W 9 p X x z N F n c e a L 9 + C 0 u z D c P Y z e 9 l 6 M 9 G i + 9 q 4 1 1 L B o q G Y k K t N q X Z E O N f m Y K e P z j 6 6 q k D b N I 7 3 u + H b A w a q W q b K 3 z x B c R p C r R m V Q D f K y Y E 7 M I B Z R N B o 2 j 7 S t B y N Z X F u 1 P g 1 n P R Y / X k L 7 S T H 7 N s p D a Q I Z g 9 q q s 1 t M Q R E s B w 7 s V 4 E N b f 6 F J p E D t q F 2 m K I N P P H S 4 2 L 6 + F Z S c s h E y e p q b p 6 Q 3 Q M L K e m f c D + s r 6 5 c x f D Q 0 A O C i 3 1 I g m X o n 8 e y / t 9 g m z Z P t I q N + 4 j n M q K 7 f p k 6 M + c r N 8 U H H B S t J n S r C 0 C + m H H O l 8 V s R 6 l c U V G / r 6 5 e V z m H X G X M 2 7 G W o c l k E T + 3 X S W Y s t C N u W B H Y M S j 0 o Z 4 X 9 I C o Q 2 h F u z g 9 8 V K C W 9 + 9 g 5 G + k a U j 8 w F l r / 8 + E 3 s H 9 i n 0 u J 0 g d o a Z F 5 e p 6 6 m Z 2 5 P 3 p I x F x / I r P n S Z O y w P 6 y m P 9 L i 1 z 2 + 7 1 k 8 v v c g v E 4 P O o K d a P O 2 S U s M O H n o S Q R 9 L I C j 3 W d X G o q T W C 8 O r 0 q 2 T G V B L m h X i / w 4 Y F T 1 5 8 5 9 j I M H 9 6 u Q N x m p V f R p I + j a i d e i q b O d a I 2 O Z H k G 1 Y a 2 o R i l q c u 0 N i V l K 1 Q a o n U q W p 1 t t 6 l j Q / N H x l M Y K o L O F 3 a W j 8 f F e G n x D W k C t m r X + j p 9 J J 5 U d U a M 5 7 U C T M u S X 8 s A 9 J O u f H U N e 1 l B d b n U N e f z 2 I d k X F 5 r h a F 2 0 C e b g W O V y 1 Y Q v 7 i E n h c 6 l Q D U o Q s x E n Y q l Z V n 9 g h j U V N W c E 6 0 E 1 c d 3 L 9 3 D w Y h 6 K 6 j v 4 t O d w 0 z 8 1 X s d a S Q s B g x 0 K G Z X d T e N F t 1 1 4 B z R z l h y o 7 O D v z o V 3 + J 3 z v 1 + / g 3 7 / w F 7 F Y b X j r 6 E u 5 O 3 8 V r T 5 5 e o R + C 5 i m v w T a x X w j O z b E e Y U 9 v r 1 I A 7 7 z z L n 7 3 9 3 5 P h J l b 9 Z U O 3 r P 5 8 w p E 4 M 4 s z a E v 3 C 3 W x z L T 7 4 a h O I H 1 8 s i q y Z c s T 4 k J 0 q 8 c u n K p j K t X r + L E i e P K 4 d 9 O p G U 9 O E i M f t E u 5 8 B z Q L a L c q 2 A U j 2 r 9 l F i 5 z k t H n g s O 6 t X Q D A 8 b B T T h l K o F e L X u c 2 J b 4 V o t g v 1 b P Q l 5 J l a E f W c M F T 3 M k P p S / u b 0 W Y d l B a 1 l r o k F A Z / f v 6 z N 1 S Y n V K W f t X z z z + r C q V Q s P H + P I 7 3 Z t v z u Y J a E / Q w 0 A X g / f c X 4 T 9 q V E E Z V n D i P m C k A Q Y m q A 3 W P C / 7 T d p x f 2 w K + 0 Y G N W b P V J C b z O E r W 7 v 4 r 2 U x A y 0 o x K d x b N + q 0 O I z r d K D j A 6 D H n K t V C G H g E c L 9 z O b g j 1 U K W u F W d J i u n n d P k x P T a J P / K S o + K 6 B Y E B p J l 6 P g o g + 3 p d f X s R E e R p / 6 9 Q f I C g a 6 K P L H + K K + G v f f + b 7 6 G / v w 1 d j 1 4 S 7 + J 8 R V m n D k b 2 P o y R a E g 2 X C E r A 7 5 S 2 7 c b k E 0 Z f Y / K x Z g D n S 5 i 9 w B l 7 B h 5 o z j R 3 Y L 4 a V 6 Z X s Z a E 2 b D x 4 j U O D n e j 4 8 Q l J U M r o t s I q n M q O R g a J u R L a f F B p L P F I a Y / 5 D D u j P j p C 2 z E T E S 1 U H 0 g n L s d s A 3 6 V V u Z I 1 m H U x x i I Y L K P O q G 1 T 6 W n l B F 9 j c z Q 3 l t S u S h 4 U E V 8 O C U w b 7 9 e 9 V c H 0 0 c J q 8 y y s j f e G 8 G D q 5 e v Q Z W Y q L w o m X B 7 1 y f / h C W v U 8 K Y W 4 t a 3 U G z c i 5 4 b 0 + l O 5 V V B i Z 7 W R b S K z M x l D 7 Y 8 n n 9 c / c F v B p R D + e p c C H Z 8 g j Q t G I k K e O s a k I D g 0 H Y L N o w o f n k p l 0 U 4 4 v 9 i W f m 4 G H W w s m j E U N q u B m j 7 c q p i b T q r j D h 5 b z y S w b g q a 0 3 g 5 q M e a J / u T 1 n + C 1 1 7 6 L a D q G W C o q J l 0 A 8 / E F v P r k d 2 Q 8 3 J i N z a L d 3 y / P G U O o L Y y F 2 A L e / P R t Z S o + 9 9 j j u D J n R T 9 3 m n l U Q Q l K x s 8 + u 6 A m S G n O r A c l F l f O E i 5 j u 3 C 4 P N S y A 6 t L O B 3 s Y L 3 z d D B i K F / L O R s T F K 9 D P 4 I B u H Q l I t K r D r + 5 X z n R G W 4 t I 7 3 v M m 8 d Q N g K 8 2 c X 0 X V q d 5 t 5 k e n 5 f A S f j w O 9 H i z c 6 H p C f o f m / 1 m M N n l 6 0 W q G 7 T O w F i a n a W d S w o 4 T 5 z e u 3 8 T h w 4 9 h d G x c 6 y s h p l d f P S 2 m z q / w n e + c x i c f f 6 b M 9 M c f P y a m G 8 P h m o / V q o 0 E r 0 F G Y c S W 6 7 C 4 d m 1 x N o K R o T 1 w + q j 1 x G e T 8 W D / M 9 O f u 8 e z C A 3 B a / L 5 e Y 1 8 t C h W j 0 m t r b o 0 5 8 J A o I K w m H / s q x u z D T z W z d L L 2 x O s r F 4 s R p 3 c c / m L J r D f t U c x K M H C e 8 + K n 3 3 m w 7 P 4 u 3 / 8 d 1 T G y Z G j h 0 W T c y k M U 8 f o d 3 K J i A l T S T m n D O w L a 3 V F m J l + d t S O l 1 V Q R x t P / n / X D H V q T w H N l V z J U D d v 3 s a x Y 0 d a B h + Y C 8 Y 9 k 3 T 4 L X 3 C Z Z q j T M T k f N q h l C L U c u s 1 U 7 a 6 p N V L N 6 6 G M 1 u B n R R f i q M t p K X h 8 D M H g 8 R V E X O Q P h K X K e w W p U Q Z F r d I y 1 2 s I d F 9 G F 1 g U G K 3 I t a p t + b Q + / 2 O F Y H z K J D O p O X + D d j F B K c W 4 v C z 6 9 n P b F e x J B r X a l q p B c 7 S Z T S D m J G u a 5 b m t r J f d f N L / 5 7 P x S x 7 2 4 I L n c 9 o Z i u P K 8 o 1 a t W 6 m u u L J x N w i R b W p x e K h T y y E w U Y O g 1 o 8 5 P h j P h o 1 I E X x E c 3 G k i 8 W g B C 1 0 q P A t y k b X Z 2 V u U P M t X s u W e e B + f J 2 N b 3 3 / 8 A T z 9 9 U l l Y P p 8 f P / r g x z g 2 8 h T K 8 G M o Y E S 2 l E f A 6 V 1 Z m G g S H n C L W c t N 0 S N Z G o O 7 R L r Q U E 4 d G Y m v G 9 d v K O l G a b U e 6 5 n J Y Q w o s 4 w D Q k b S s o Q D K o B B Z m p F Z K V 6 T p m K 2 4 K c H o t F V a o / B 2 G Z Z 0 U A O M T e 3 n 5 w p B U y Y 1 r d A 1 5 z M c O I 0 P Z B w q V E V x O 1 G z w n J 8 y 5 Q 8 e j Z C a C i b F + E V Y k Z B I L q 8 s y 8 s o C m v / v n / 9 Q H c O q T F w V H E + k p A / F y J Q 2 3 h 8 d x 3 / 1 X / 8 z + W z C 3 f u a Z u O L z 8 L g A s d Q t y b 4 l 3 m O o k 5 X Q I Z 1 y n X 1 N K y g 3 J d t o N a k c I l / n k H 7 w a D 6 n m F 3 M v 2 p E f F 9 V O V Z Y X T R J E y A 5 v 0 e F Z h E f f 6 T T 9 V q 8 p d f e l k x E 6 2 q o L T 9 t d e + g / G J K R W J J A 1 x P m t m 7 B 7 u T 3 y I a T E B m R T 4 P / z l / 6 j q L F 6 5 c g V / 8 R c / U p q Z C L v r u / O h c t k k a s U s R m 9 d x N m z 5 3 H t 2 n U 8 f v x x l d 3 Q K p r H 5 F k W l q 8 1 y n A b O 1 V I m h 1 E y c O s Z 4 Z 4 G e r W 7 e R W k s h p 8 r c k w P X g d V l 3 n N u y 0 N z h O Z p G E F O A 5 8 t / u y V W L g c P H t W 0 G y / F 6 q l s E Z m r V D O I 9 O J E L t P 4 1 S F r w C I 1 1 A o U H h w 8 E t d 6 c B l A N Z J F Y H k Z y D e B v / r p z 5 R v d W D / f r z + 4 9 f x 5 M m T y B c p f b l l a w R 3 b t / B / M I 8 b t + + h Y t f X l J 5 j A W R z l Y b o 6 9 i k i 4 z k w 6 O Y d X N 7 U y l v 5 c 7 g q Y T + 5 4 v f X w Z r F p 4 L 4 r + 1 7 p W z m f y L c d G Y 9 Y a y m K 2 k s k Z 2 C B a 0 c V O Q R O U T E r m 4 X J 8 b v x H B u c Y f n D f g b 6 g E e 1 t X i w s R j A / t 4 D v P f 9 d f P H 5 V z i w 7 1 n 0 h P z w u N z i V 5 1 W i o O F c h i B b J 5 f 3 R V D l a T D Q 8 K N + w Y 7 V M r G I b H L X S 5 n S + 2 k I 1 f V t o G 0 G T 0 i f Y Q 4 4 4 n l O R i N i U Z j F g R d O 5 H 3 r c F r k Y E I / m V E h 0 6 o P m h q c B U b 7 B B y S R E B y 8 s V 1 o L M x c g n 0 / h Z v 0 1 t f 9 m U R Z I X 2 9 t s r K s Q d s H c I Y K F J Y 0 N i O W 4 n S h 3 4 q D g M 8 B R L q G 8 V I Y j v H b 2 / e s E l 7 j / 3 u / + Q B H Q y 6 d e U o E B v 5 g 6 9 J / o X 9 R F E J 5 4 8 j h + 8 P 0 f K B N w 7 8 g e N T F N 5 t D H T o f O M H c S d n i F 0 P Q t V F u B x + U m C / D u 0 d w D n s u M + q Q I H G 7 O x 5 A 4 N S S F I o M a z f f R w X 7 j a d t B T q w p r v R l F J o p Z g c P H B D B t i q 4 z t z X + n w m Z R G T z o S u o B t G q x 2 v / + R N 2 G S s 8 u 6 j O N b v V B Y U i Y H 3 J W P e u H E b e / Y M P x x D 2 c R M O N g t N / Y 6 l K T h x X S b e C P Q 5 G P I l 3 4 T E 0 v D I W 0 b G B 1 f z d s w 1 L Y 2 O L E b k I k o 4 b i T I K N 7 L o 9 D W 4 m 6 3 P O 7 Y i b B 3 A e L C B 7 e e h c 8 l j B g y W h q G 6 b 3 N I R I j C J 5 F + b n V R + F / V a 4 7 V o b W B u c 6 6 M c M k b m a g 1 V V u x 5 i G X x u 0 F n J 0 P S D T H / u L q Y E T G N i B n W t 1 k t + P K L S 8 J Q I j A d H g w N 9 i 8 z E R l n Y y 3 P + u f p S 0 v w D m 8 + k Z 9 f K K x U z i X I N C x l T e F M u t L o o / V 4 M f g Q y x u V i b z V z u w E a 9 H / u Z i 2 F A o s Z c 2 U N p 0 J P p 2 w i Z A z w G Q U 2 p G / p b o Z Q y E j H H J M o P c A T h w e w l L B i b 2 d a / 1 6 j m d P T 5 c K 5 o Q 7 Q u r z r o M S r 4 w w K 3 r 5 w x a o i q k X L 0 6 h z T K o Q r P U Z O y 8 Z q n D H c L 1 3 Q k f Q N P X u v Z p h m K W 5 X 7 n z D c n d c k 4 v D 5 / a / 5 9 B b x M 6 7 F 6 A M V o C R a f B a b d F L M Q 0 O f Q J x m p K X X m b s b C u S V 0 v r j x u q j t g p r O I g z 9 K E D i 4 8 Z r b D O Z j O Y X / a G t I K 4 P 8 p E S n A H p s 3 X r h Z q R n V w t G 0 B w b G n q 0 c / c a O K b m E u b c G u B G S Q s Y V f a m G 6 a w F I K 9 + 7 d w 8 D A g J r 0 X u + a c D X 1 W J y T w A 1 0 e V m z c H s + G 0 1 I W l u p Z B o 9 v d 2 7 D 0 p s l 5 m I V G U G X j F 1 + F C 6 W b h e h a / v F G 5 w t v B Z R N V e y M 7 k U c w W Y K g 1 Y I / P q N / J V 8 y N K 6 c r y M 3 m k L y V V s e m x 7 K I 3 U 6 o a B y d W v Y 6 5 4 w K I g 3 5 W / J 2 W p U d 5 j W X v o h h 5 t 0 F t R 5 p M / C c 3 T K T D g 4 g C a Q V M x E W X 2 v i 2 S n U I 2 9 N X 9 s C 2 0 x J P j E x g f f P f I i J s Q k V g G L k b z O Q N m b F t J 9 9 T 5 z 4 D c A x a N Z O z d g q R Y 2 J s 6 f 3 F v H M w P a Y i f N M F A 5 3 7 4 6 q / m / l 5 9 O a O B A u y 6 u y o 2 2 Z m J r E X V S 4 J I l T F b v S U C x J e 7 B j q 8 W F G p j / V e D S 6 X q b k k B M p 9 9 I 8 u g g Y 3 B 9 i S 1 g V W l E q c q s 0 j h B + x 4 V v K A U a w V e n 6 k 9 n K t K J l L w B 7 T 6 1 + u Z d z 2 4 D i c 1 l U X 6 X g a e b p c q 8 J i b E y a O l V T x y v B T 7 d v W Z u t B 8 5 N 1 z + n E b 9 Q W t r u w K B K 9 8 + F 9 J / p v H i G I X T b 3 A b B t 1 K 6 M 6 H I t 2 8 9 + / k u 8 9 t q r i o h Y g o A E a j J Z R W 6 R j M R k q j W Z 7 f L V 3 N l F d L + s z d l R U x P U e D S h u d H c 7 T v 3 x X 9 b w M s v v a B + 4 z F 8 k U Y 2 o p M 7 E a 3 W + r 5 w V e j L A N s m G p m E T o v l p z / 9 h V q V S 7 N s M 1 9 / t 6 C g e f P N t 2 E 4 e z 3 d M F e i W K y 0 y + A D z p p I b N P m q T q n R / J b E q m O Z G V K r X O h N m F 0 z 5 5 v E 2 d P W 5 i 1 R l r L v T P T W V Q y F b Q t 1 4 n + 6 P w n u H f 3 P v 6 j f / D 3 1 f 3 e f P t X 6 j p d n Z 0 4 c e K Y O u b S l W s 4 8 f g R 9 Z 7 g Y D D z W C 0 e r F T V x t l b M f B 6 L H 4 a h U X a 1 7 3 P h K J 9 c 2 m 5 F U i Q b B N z x r i v F c 2 + 9 e 3 h 2 q 1 q q Q 5 r 0 x Y 4 u 8 X H Y 1 Y 8 P 7 y 6 r e i j B A M V N A F J z L 9 6 5 1 3 8 j d / 5 g W K q m 7 f u q p L S / + y f / / c Y E p P q 0 N E j y o e d n V 1 A m 9 + L m b l F P L 7 3 K C 7 d + A I W u 1 V M o z 6 1 q z t 3 D + G 8 4 x d f X M T T J 5 / E v v 3 7 4 J f j G T i g A K J P t 1 l m y F Z g R J W C 4 O y 5 8 / j + a 9 / d t s m 6 G 5 A u u a L A t G 8 g + E / 3 D P S g m J h E d v E O i q k F J K Y u 4 8 S R v b h y 5 o c 4 d n g / r n 7 4 b 7 F / q A v 3 L / 4 S w 8 E a I k s x l R 2 8 E Q z i s P 6 v / / J f 4 f H H j 6 u a 5 7 V 7 N p Q i Q j Q T Z g Q O + t U S 4 2 q 2 h g u f f o m Q I 4 y x u W l 4 r C 6 1 D J w 1 t X W E e l 3 o 7 x n G T 3 7 y U 3 z w 4 T n 0 9 w 8 o 1 c 0 5 g I R o o P v 3 x 9 R e S l w J 3 A x K I B V q F X + K y 6 + 3 y / x E O V V W 5 b 3 c f W 5 U 3 / p f k D Y d l g c S A b C u y O N 2 Q a H B F w e T U T 4 6 2 + v b U y v W 1 P X 1 M P N u U R A H n a H 8 5 g j j o w R N a L a f A o J b 2 p D B u L a r V u V G Z n Z 8 / s W X S h v f u H F d m V l z y 5 O n J 0 4 c x W J s A X H x j Z 5 5 9 l m c O 3 t W + U n H j z + O g h A 8 s w 6 O H D 2 K W 7 d u Y 6 C / T / w B T k f o y 3 Z 2 1 y d c T s 8 J 7 N H x c T z 7 9 F P K b 2 L b v y 5 w j B n k M L 3 4 4 k v / d O T E 9 z F x 6 1 O h v x o G h 4 Z h E w d 0 a X 4 C + 4 8 8 i f P v / R T P v / g K 4 k u z K B V y O P T E a f Q H v I j d j C u T j O n u t X J t J c u 4 K s Q x c X 8 K q U x K L c n + x R t v o u 6 q I V E t I G l M 4 L 3 3 z k h n Z n D 5 + l c w 2 S 3 Y e 3 S f N K Y B j / / B D A i L 0 a U W / H 3 2 2 e e q o A p X 9 b J O G 7 M e s p k s X v 3 O q 3 C 6 r S p P k M U U C T 6 Y P o / B u S h + 3 o q h q E W + v H h F F V c p L h X V c / E 7 7 H s W 9 q A w q 5 w + f y 4 C 7 4 B b D b 6 y Z X Y A v U 2 c L C T h r W 8 P p R v N z t 1 k X z T j 4 z G b m O I s p L L 8 x S M G n y E W j a o J Y b 5 n F S a G j L t 7 u s U 5 r + K U m G 2 H j x z G i y + 8 g I M H D + D Q w G E c f O I E s i K 5 T 4 o G 6 u 7 p Q m c 4 i B P y H d O f G I I / e u w o h v c 9 B p P N j b 3 D / V j I m B B J m 9 Q U y l b l z T Y D M 9 L v 3 L m H A 0 r r a f U R v w k Y 3 r m S a e R L D f i s Y i O b u C N C A 2 6 7 E T n 5 j u / N u X F 8 c v Y t v P j 7 / 0 S O l g d 1 Z G C 6 F k P n C y E l W V m c n V V h 6 G 9 w G 0 x b p x U f f v Q x v n P 6 F C 5 8 f h H j 4 t B y G x e W / h o Y G s K 1 K 1 + p W f L + g X 5 F w C + 9 + N x y U z Y G C V I R e N P 7 5 t x A v 6 U f 6 e o 8 r H D B b t S S L f X j a V 7 x n G b Q 3 q c E 1 P H x J 5 8 j L 8 K C n e / O u u H f 7 0 O R y 9 8 b T v z y j Z + p G X U u g o t 8 H s W M Z R Z P H D + 6 f O b 2 Q a l O O 5 v E u N 7 k Y 1 v L 8 Q p s r A u + S 5 R r I j h E M H E + 7 O s A B R T b y a w F Z p N T K N C k 4 j 5 e T w i D c K 0 X 1 y Q 1 9 3 X q X h r u A Q / m E x k M F + 6 h 2 H 9 c M W I m V x I r w g V u O n F v S U x r r w g / q z B r z g C f v Y r R + R L 2 C B 0 R i z m 7 n N N Q 9 U u K 4 o K F 3 N s T Z i x h x n D 2 y Z N P q D 7 / p r B l U I I T k N y B n d E j 4 k D 3 O E y X z e j a Z o i X h F S u F W U w 6 t L p N n z 8 8 R d C u H t V Q Z b d o l o r I 1 X T o n 1 C R v C Y u p A u L 6 o A h g M i P U s m N b j r Q 9 R k J B b R Z 6 I t 1 x N l q z G Y 5 F 8 h 2 8 B b b 7 1 L C x H P P f c s X v / J j 2 H i F v / t H U j E I g g E / H j + + e f x x s / f U H v z / i f / 5 B 8 t X 3 F z k H j 4 I t L J F N x e j 2 K m V h o z d T + r 9 k n a L W a S J v T 6 W w d r H g 4 N x P L T 8 F q 6 F D P R 7 O v s 6 l T P w Q p W r H H 4 + Y U v l e n X T L y f T l i x L 1 R F 6 e I 8 A o / 7 4 J 3 + G J n 9 3 x V 6 q O D O Q g 3 H e l u v J G B / M Y j A 0 t + Z q g s D Q d E 2 Y h Z y 6 x l W L W b 4 3 u P x K U 3 2 4 A L J V f A 6 L F X N p N 3 2 Y F D O e z C y 9 3 V g y 4 n d q t D D s r B X 6 P R F U J m s w z e 8 d X o M m Y m V O Y u m C M o N 8 R 9 M D l H r e 1 V R j O 2 A x F + p 5 2 E 2 i J n E l B R V F 8 6 A f D 2 u 0 p h Y 5 t d v 7 V O / c c v + 6 G w a H c E + 5 d D y u P W E q + x y A / e V y q j 8 w p o w Y K V R w F s / P Y s 5 O s k 2 C y 5 f v q K I w i K D H R N m Y h 0 M 5 r 5 d v H h J / D I H B v o G s H d v 6 7 p 1 6 0 G p v h S J q I B E q C O s 2 r O R 6 Z G 4 v v v S z I T Q 2 Q N 1 5 x 4 G 7 O s 7 S 9 L 3 x g x u L w b h t U d h d Z h V z Q s + R z R n h t 9 l l j 5 z o l O e L R Q K I i 1 m u N v t V C b 5 d M K M / e E q n F 1 O F K N F j N U N K J e y C P g 8 6 P S u z h G u B 7 9 j M M I i r 2 o + p r I R y B x / / u f / F t x T e P T e P X R 1 t C P s s 4 h Y N I p W W 5 u V o o P X Y R j 7 y y 8 v q T o b X 6 f / 1 I w d h 8 2 P D 9 5 E + Z I D X c 9 s v t 6 f I E P N p + + J V B d J J H c J 2 L v V s o 3 d g g v u 3 O Y w b E b 3 y u I 7 L m m g h l I S K T u N o L u v p e T T Q S 0 V L 7 P W w S o K F 0 Q b P S d m X o 3 V U L W t b z g g u t l I 6 J 8 5 A d v x X L t Y v w 8 S w 3 r w + f V r k Y D W M 3 g z u G V / 6 K m d 7 f 3 6 d W M m M w 9 D v Y y s m H b u g E c I v Y 4 O 1 x 5 5 H q M I O q j J 1 Y O d F f F 1 t b D x T 1 7 / G f 7 w 7 / y t N S b W / P k I w s 9 y y m T 5 C 8 F m 4 6 O D 0 U S u 5 l 2 K x c F C / m S K t r a A G u e 3 3 v q V K p 3 M q C m 1 V 6 b Y g M v C e h k i s E S y U B g y m s r A B 2 s u f u e 7 r 4 g Q 1 5 Y U s R k L 4 q N l y w Z l R o Z c y 6 b X I 8 K O U 4 + 6 / E s w Z Z 1 w h r d e R k E J z X X + J C Q S P j e G b l X q d 7 u g V q H G K t R Z X k w b I d r X N o N H T T b W K m Y 1 z 7 A Z 4 b I A C 7 W l j o K Y r 8 4 n a v B Y w q K x q i q R d z N w Z n / + z C I 8 y 3 v j b g Y O f j q W R T l R h t 3 H 2 n W t m X D + k w i q m R q 8 e x 7 9 / M h u Q C H A s S v X o 2 L u i 9 q T M b Q 5 D a I F b U K 4 2 p T G j G g g m n T L s S i l V V g 6 T U 9 C J k G n J 7 J q L 1 w S u S 5 Q N h s b Q v n G i a S K E s a E m R g J V L U P X S 4 1 4 c t F k 3 1 9 v X j n n f f Q 1 9 O t A g 9 X L 1 / E p Z u z u H v r C h a W F l A u M m u 9 L m 2 w q I 0 l O j s 7 U a z b 1 O 4 x o 1 E L 9 k q 7 g 8 6 6 0 m z M L N G f 4 V F g V x r K l e 9 S 8 w n c Z X w z k K l 0 M I T J s K L e o V t 1 b C u Q 4 D m v 1 Q z a 2 4 n 5 I k Y G D s g n L W F z I 9 B M 5 O Y F O k q 3 L b D s Z S G Y B i x w w W v d v l 8 X E Y 0 S f N y / Y Y E W 7 v A X u 5 u E 4 7 B Z C M G L 7 N 0 c 2 o + 1 1 k C p + x n x n x 5 u v m u 7 0 J m F R L + R + c n f F 3 P 3 U S i y G G h D G M I A u 7 U M h 8 U j v t T G c 5 T c c u a j j 8 6 p 7 W G Y k F w c L y M g D L U T c K 3 S 6 P 3 7 i h H 2 7 h 2 B x x + Q N r M Y / / I B A u U L y 7 1 o n h 8 9 e l Q x M 1 d n c 8 3 V U t a o p g + i i Q J q + Q S 6 O 3 w Y 7 A 6 I h m o t K D f a O 3 e 3 2 D F D P T 5 w D f X K i D j 1 0 t F W j S m Y q 2 c 2 r E a o C u L P G A w V Z O t z o j 1 8 y J d T y K Z z c B r E j 3 D n Z M D q 4 v Q b R N q 1 S 9 d o D 0 M t U 0 Y O V v m b r m n R O y 7 7 d o s 5 l 6 / F x F 4 u y z V N 8 J o G E L 8 T g 2 E w L R 3 N o E M N J V H h b o 8 D V X M K f t M e t e a p I H 6 W E V Z 5 G V T 4 n S h U q r i 7 V E V v c F 7 5 C A x C Q M w Y i / h o P m u P 3 C c i / p h Z 7 l U V i Z Y k e y J o 3 q f O J a L V m w i Y h p G s j a t B P f v G b f y N 3 3 8 N 1 a w B m c U s / F 1 e p C M Z h P v b k T K O S 1 u G Z P Q N m I 7 c h 8 t v h D 3 e D V e n H f H a P f U c 2 f o 8 C l e t a D v m Q n 6 q L K a x E / V Q U j S o P J v 8 0 8 H A C w M p N q N P + s e L X G 1 O P t X g M w 7 K s 9 F S E H O 3 e l c d a z P 6 1 R I Z p m 7 l E m k 4 2 1 2 q 7 / g 8 H l M P y h V u g F D U w v f C K M n a f b S b H 1 P P z F v m 6 k t I p r s w s R D F c / v 9 S i g u F a f Q 6 R k Q 7 Z 5 T m w V k 6 l M w N 0 K 4 N O O C 0 1 L D Y M c 9 O A v 9 E J c U s 7 X r m J h q Y M j g g u 8 Y L R P x c 8 2 D c m m x V o R O + B z s b 4 5 P X u 5 l k v e O x j B q h i i K j a g a u 8 8 / v Y O j T / T J e E l f V D y Y j j 0 j 4 9 x A T 9 s F 2 C w Z Z H K d c D p i o l m 0 b B 3 S h d v e B q u M c w 0 V E Y 1 7 V I I y / z V H c + v y G 5 c R V c V v z o v 2 Z b + W 8 / t g W V i C b 6 / 4 f t K W Y j 0 B u / R h q j Y l N O l V x 3 G / L I 6 V 6 i A F X r M B p 3 x f a W S F l u S 5 Z r 0 w 9 u Z 2 b v J 1 + i P S I U 4 0 U j V Y 3 R b c F W J 5 9 + 4 H u L Z 4 E 1 2 2 L j U T X W r E p e P b p N O i 8 o A l c T D F z 6 H 0 t 5 a U l n E Y m b I i j C g O L 0 0 s j 6 m b v S L H i x M q L w Y h z C x v b B 5 S Q Q T + x u B B m 3 l E H q O G o m d R t Y W d z H J a + X I c f n u f m G 0 d 0 l k 0 C R M y O D E 5 V p x i E 7 W C 1 q l c Y R x 0 i T M r 9 6 2 k K 3 C 4 7 c r / K m B J d Z r V 6 J F n c 6 n n Y 1 t 4 v 4 q Y h 5 m a x o B m I V 4 S N Q e E g 2 V s 2 P H Z u U u Y m J y E 0 W F C o L 0 N 9 2 a 0 b f s 9 1 r B q K w M m d o s b W W G C t r Z e 9 S z G p A i P e A V x Y x l t z i D y R o s Q q 2 g D r 5 g 1 N o d q S 6 m R U P c g 2 D 8 c O B d 6 k C i P o t 2 6 H 9 l K R J 6 3 R 2 W D 8 J q Z U g R + w 4 j S t G I s K V + 1 7 i j I c Y t I 3 E 6 h L d S v m I P b 2 N i c I o h g U h O y h g r n 6 j T T + e J Y H t 0 e N z K V K 8 J 0 b n Q H v C r 7 P C P m t M / u V 3 N 9 m f q M I s Q q U h j y t W E u a U b A u 6 S y X 3 L w o K 3 c D m d R N I Q h o i p G e d w a H Z B I c / V F Z M o F a Z t J x t c p 1 / N L v w q D Y x b 3 5 g b R 7 k s j J k L A a K o i 0 O Z R 0 V y j s Y h E d o / 0 g g F t H r m z Y Q k 2 a x a V i l t M 0 B J C j v 0 I O w 7 I O L e r s S H T l B C R / p L n l P H U Q U Y x S u + Q H u 3 G g D C D + M H y z 2 4 S R m r P o D R j R s 4 1 q b 7 n m J l E s J K J g u b 9 Q g 8 O E X I Z u b Y m / F k X 0 W 5 o E x p b Q k B o J F e P o J Q v w O A W E 3 i n D H V E J F 6 5 L p w 8 n o K r y 4 n X b / w c p / a 8 J A 9 n w W C o D 7 P z 9 5 C b t s D + 5 / 8 P n F N F m O 8 s o H S w X d Q y T Q w L A t Z B R N J j S j r S 1 K L N b D e S 6 O t K Y p G Y S b B e k x a 9 o 2 S t S J d T W 2 W E O D 4 b 6 4 M h V Y D b X 0 a 7 b a / K 8 7 O S C a R j W M W G D M i B J 9 O y 4 3 R m 0 i B t k I 8 s G B k Q T e a 0 y m B L p 3 h M v Y q B S n I v o 2 h a M o J b i D h b X 1 A a l k z Z M N T V Y B V F W L B j n a Y w 7 M E C j h 8 + i U M H D 8 P f a U L D n M N A z 7 B I U Y c c l 1 D M S T A N p 4 S E Y n g y S d m W g s 3 j Q 5 v d B 4 s Q d 8 2 0 C H v e j p p 3 A v G s S 6 4 z L 3 1 Q V J r D L s + R E o 3 I 5 z f V X K q o P Z + 1 m r Y h Y x h D s Z x H P l W F x x n A v S W H E F E c x W p a B J e Q j i G O a r 0 I e C v I 5 9 P I i e B p C D F 6 b d o O h c n K N J x m r f Q b T f D u g B Y d z e R y 2 N f V r Z x 7 I i v j 4 r W 0 C Z F S W E V R L X e L Z j J J G 0 W o W k Q z W w P 4 / O O v h L i E G I X V v H t M 8 D j C K G X r K N b S q B e p R U V 3 m J L w G / u R b 7 B f 2 x C J J R D L j Y p f X E K 2 K N o 9 M y f P V o X d Y V Y a 1 G v r F G G Z Q M A 1 g X L V K W 1 L S 9 + m h S 0 O S 1 8 O o 9 v d v 1 L m j R F b W h d V E Y B K D M l 4 T c V 8 0 o 6 0 t H 9 R j U e p Q S 3 d K x b Q t L S y J M d R 6 7 v k d 6 G H Q B f s j T b k Z m W s 3 C y 3 4 F N M k x A N X h K L g d a G y x g W B e D m C G q W k / Q L X w p y U 6 P I / h 0 z V K x o V R W P k v f T S J t S O D r c I 4 Q R Q p + 3 V 2 5 m g d 8 b g l 8 a W 7 8 3 K h 1 Z R H l 4 E H N z I Z R E k t n b x Q 4 X j c L 0 o b o p D 7 9 l U I 5 M S V e L 0 2 7 w K w I U e a 4 6 h Y U q M / L g J H A + S L V c U c G E Y s W J 3 p 6 I G n i n a M F 0 a V H M A m F A e 4 d I Z o b T m Q l N C a P N O 5 R F s r N T n M b V e b P a k g V m n 9 j d M g C U Z O V 6 D i 5 h k J I q Q Z Y S J u N i y I a 6 b 0 1 M V 0 o 3 S i l O G j N c x c 7 O q H m w h t J q 3 M 9 W n A 0 l 8 c h s O W F E t 1 G L g p J R h T w Q j 8 b g c 4 e E O U b h N v S K u a I x e q m S E d M 3 p L Q 9 h Y D X Z l E D 7 B O T k N e h J q E J S N j R D q + D Y W s T K h Y x U 4 x i K o m 2 D U r f W 8 1 O d M o z W a 0 2 6 Z N Z V A 3 c 1 k f I J l + D m a t n x T S z V o I I + Y a k j + r S r w w y W B V j 2 a w O V I x c 9 s 5 9 j q x w 2 r Q 6 i t G s 6 D s x 7 W / O e d E r J i u F j 1 H + M T M 7 z z 4 y l B G 2 d 0 k f F X H / 7 g T u T l w X 8 3 Y W M 1 N R 0 d p T 6 N v v g r U W l H 4 2 q a X 0 R m s d T t F 0 Y p s g l l 5 A J l H E 5 z d k v G V s / e 5 x z I 4 u i H b n M n 2 b 3 J 8 M W 8 T Y w m E k s 8 I 8 b Z f F j 0 u q f v D Y h Z a s q x q I z F R Q G p 3 C O S D n F e S e w p C O n L I q a K m 4 T B 3 S k 3 J d G U d t / K Z k f D v l d 7 m W o R 1 T C T M a t n v w k 7 H k 9 1 K 0 h r x t R s a h X 9 G S E r g y D n l h T g r b R H V M C X K H K A M x Z k X g V p n 3 s L U P 5 R N n 1 C u m 2 u z E H Z F Y R p R K o t q E C G I i X V g D 4 v Q r L 8 o F S 6 q x K f F 9 S A g 0 u V g 3 g o h V b 8 k D N Z R q v H 3 r J k Z G 9 g v h C o H I g J Z N U X V M u / m g + C f c A t I o Z t Y + O e e 2 E M s Q G l U j l k q 3 Y K 6 J K j c z c w G Y n O v E Y O 8 i P G a u P e F m Y W L j m k V b W J 0 i e W Z E s / U K A 6 S F U U Q y S s v Y H m 4 U p p h B U I y L y m + z K X / I a n B L B 7 s V I S e q 9 8 U k 0 t J d O O k b l T a Y h J m p y Y h 0 d Q p e s 0 h X k U j s X E o 3 h y E k A x U S I S M + k Y 2 7 N N I / c E n H i w Y S z c b n j h b G x J y S P j T 3 w i G E u h 4 N u W d B / M t 6 3 o h 6 V 0 L a L + a v 9 I Q O 2 v I e Y z c W C z f k k 3 y f 9 y D k 7 0 X D V F G m M Y M M F E D V m l N p D Z o f + V J S E S N h k 3 6 h Z i X a z H s R z 4 / B b t 4 D t 3 A F z V l d i x I Z 8 X n p f 7 F P S Z y 8 n b n W h T v R O n p D 9 4 T w A s q U z 1 f F N B f h x Q E x y X 2 5 H 9 e y / F L E C v F t q s U q W I K d g i V T n x Y t y D n J F G 5 / G R F m z 6 v 1 Q 8 9 / 5 4 h Y N U f x 9 u U q E n d + i W e / M y S a w i t j v x f X 5 k 0 4 K P 0 x m Z x C J H k Y L v u C j L f Q U 3 Y v H u v 7 V B j 5 o H p + I l O b V Y K X q 4 t p H l N A q 3 l K M X 8 5 F v T l 3 c Y e V R q 8 3 T K i x r 7 d f E D o 7 I 7 Q 5 T 5 F R 8 S t p Q o O h q i V t f 6 v V Y T g R N O J 3 F X X E U N V 0 X l C h C I R l G t Q i M b F f y W t i a L d W k N V i 3 H E l x Z Q q J n U l v I O b z 9 6 X M L 1 c p P u 7 k 7 4 x d a l f 8 A 5 A N r + J D S a J 7 S X K U E o L b Q H L C D c 3 o N I a h J z t 7 O w + m r g n q a 6 J u H y c j r P m d I C 8 j k Z o K p I B b G X 2 + 3 7 1 V Y y 1 D T V m g E B T w b W O m v + W U S b p J V m y Z r G V d E X M g 1 V O x k k L 9 K U I M G I 5 y B / x f 6 X j r c 2 3 C o y R 1 O S P p r y B + X O J M D 7 i 1 3 Y 0 6 b Z 1 g 6 R W o a G v J P e p O l J T U T h w O f R z M C Q / H U h V r s D e 6 E D B l t V 3 Y v C g F K S J i K D H N Q u 1 B J w Z J W W n E z P C S H P i + 0 u T q x c N 1 a / h Z / f + Q h f J C 7 i 6 t w 9 n B 3 / G M / 0 P 6 n 6 M 6 4 G f F i Y h p n z d T G 7 e s T X y k q / W a U 9 b i R F S t p N f i E s 0 T D i N z H 4 Q s 3 p t Y p v Z c y q K B 6 f T Q P F l Q U N o 5 i H Y r 7 x W R i k y N U W 1 b U I B o b 4 7 D S d a D b T z + E E K 4 u P F G s s R G J E r r q E Z M E K t 8 2 M w q g V R j G 9 K Z m J U l n 8 Q F N B L A 8 R Y k b R y C K A t E C E m M j m E I L u L n j 7 S 3 D 5 j m H P X q c y m 6 w O I / Z 3 W X H 0 8 G H 4 n O I D i y d 2 d b p L 2 m B B v 9 8 q P u B 9 u O 0 R M c / j 4 i o c x U D 4 H A b c J 1 U b d e T E h K Q m y R Z 9 q q 5 H y X h b M Y B Z b D D 6 b g w s W M Q V 4 J Q N a w 2 y 7 9 k b 3 H W S / U I a 5 H O H X C a 1 g 3 4 0 H R Q G L o n W z s o j N 1 C a F 3 P V K X 6 p 0 J e W Z G B R w j h V m 5 D 7 Z K W H N Y H F v e 6 3 Z K i G 2 K g G M T M s r j A C w R T i 5 Q E 8 L q p 8 c K A P D v G l z E 5 x R k X 9 U z N o q C M p N 6 I q z A o B k 7 D Y o Y z E 8 C F D r h H x P U S C i T 2 c T e c R u V V H K p a X 7 8 q K U D l P Z B b / y i D + V c i x V 8 y J k g p c 5 K s J V B f F i Q y Y x V w s S r t E j R s 6 p I M Y t R F p L M f T R H K I U 8 k O 4 n t F 2 P K P D E Z Y q m 6 R m p Q 6 l E n C K N I F J F y a i b l K H D 1 e u 3 S a X V X C p R R m p S X u H s K 6 e G o e z e A V a c k d G M R J N Y 4 L M 3 e i X h E T T G i t 6 s y I A B F t J 4 x Y E g f W J D a / B W 6 R Z w H V + Q w q O C 3 t w m C L c j 6 N n q L y x z i g N + f F G R Z N w r a U a x U 8 2 X t Y n i k v 1 6 G p R 9 M n L 4 Q i v h H E z L P 2 I m u Y U Q J B C 9 L U h Y n m 1 H O L k S L X F B N a i J j X b W Y m E h Z N V 5 o / H J v 0 l Q p M H W V 5 X k Y B x Z l e F m z s S x I N U 7 t o Z T A q R k 3 N / u A 6 s 1 z J g s q 9 K q a T I S S c b c J Y 3 L p V C L N h x G S s R + 4 k T 2 e a V x Z E o 2 z C R F p M W n t F 2 i Z 9 L G N C o r 6 / e A B z M b + Y k 0 I P X m 2 M C q o v q G 2 L 6 B O r s M 9 n w m j i g p j E Y p 4 V u l E o B 9 A Z u I o B z x O K m a h d 2 S 4 + I 6 0 G u g N + q w / R 8 g z s F j 5 j W I 6 R c Z B n c a v l S F p m R r 3 q V 8 9 h E L p k e y j w 6 B e y D T T h 6 H p Q c c y L B V w 3 T y i h Y 3 R L 6 4 U O G O z R / H y X M v 1 4 f 0 J p c / 4 1 7 r D q U c g 1 i m S x F 1 1 t E U W M y T s 5 2 L p E I s g g 6 j 4 K O Z / a i Y P E c C k f i M F L g h K J Z h l N v u R S A a F g J + z h A p x t Q k h Z A 6 J X x P z w p u B w M y o o 9 q 2 S B i Y s X B D b u r M X V a 9 W i o w P Y j D W 4 B b f g z P w j B w K B c u d T W p g q B n Z M V r U z i H t Y c T J i 8 R M E k 5 u q C U O O F U 3 C Z h Q E k c c / U I t L t K L G R M Z R U j a b + J g W 7 T 5 q U I j i j Y 6 z O I L K K I U X 8 d j 9 i F v W h D b i B q K j J M T R o w j k Z 9 T p q F N r s c o p 9 f e i U x 5 U a 6 r 1 Y T 3 C 2 O U I R J Q + u a 5 3 p d x t P M w B g J i Q g + / q p 6 P 5 g u F E A e b Q Z m w 4 y B s 4 j S T m J z m N t W / f E 5 q M Q Y u y B j 0 t / h M G i P S k t f 6 n U R O f 4 G F M x 2 i W Z N i s o R 6 x D Q v i 7 8 I h q s T q r 9 4 P 1 6 f U v y T 0 U 7 0 B p I Y i 9 n U 5 u T M s n f U x a e U Z 0 1 Y w 3 K e P G v V j H Z 3 X D S h M K 7 4 X w 5 z C R 4 R L N m S H V d n O m A t 3 E F O p L r N F h d t U M T N y e O Y j X c L U 7 G K b Q X J G W G Q w R D O 3 Q + h w z 8 j g s u p T E o + e z z n k H 4 u Y P y r O P L x D K L i k + V i V Z R L d Y R D F J o a M d f E a q E f e H m i F 7 G c G X 0 i 9 E n g t I p 4 j F H 6 j A m 4 H W 5 G F u 3 y b U T G 2 K W m P h j A o g V A y 4 o + F e n U K l q Z a F i m F F 1 R m N O K E Q k O U 0 T c G H d Z + l e Y a 8 K A 0 k I d g Y 6 w M K V W R q w s V t W O G K r d P S m E 0 o + w f 0 q Z P G a f d L S l o S I n z a D 0 p F / l E C Z T x C G P Q b N C U 7 1 2 c c I 7 Y H G w C p D 4 O u I 4 m + Q a Y d c + k Z i L w r R 7 E Z m N o b A o 5 k l A z B E x Q 4 z S Y f a A T a 6 b V s z Q J j 4 O t Y 6 S b I W 8 S r r l z n s s 7 k / G p s l J J m H H 8 h g u j 4 g t Z c T c j K q t Y r 7 8 8 j K O H T 2 M V L E k p h H b 5 E S 8 J O q 7 Y p B 7 L M m A r k 5 I U 0 D o h T F p A p L 4 K C S Y D + g V 6 Z W s j w m R 5 R W B k 4 h 5 X 3 P D J d q w T e 1 a 7 7 Q E l E m U q N 4 T 5 u t R G o 9 w W 8 J o 1 P z i z 4 h w 4 D 8 5 y G H x 4 v 5 X c 2 j r F D N a h B K l J 3 9 r M + 0 V k 0 / L O k n U 7 4 j w E P N v u c / 5 v G Q 6 + i 5 k J g o P r S 2 E x l A a 6 k q j U h P x H D 4 X i Y f j I 4 a 2 H M r P m j + V L D D j Z B Y W S 1 L M s K J Y G n G U F 2 t w + O 2 o G M T k F X + 2 U H a g t 2 1 O f L T V x Y z J v F 8 0 b R F W c 0 U 0 j 5 i g H m F k K w N M T h E s T g R 9 0 + g K L K A v U J A R 8 u D y 9 S k 8 f v A g O o O j S v g y I M T x X k h 7 0 e 1 r S N + 1 I W s 3 I 9 w t 9 / C e g s U 3 h O 6 e B T U l o Y P 5 A W S U a D 6 P f J l r z X L i q 3 K v Z R a U E W 1 d D T Q l D T e U p Z G q T S t h Z D N 6 N W Y R s E / S Y l n R q m H f 8 L e l V D t g H R P L y Y 9 0 Y x J V V 0 o Y c I + c 4 0 L N l 0 Z 7 R 7 9 S E F V h 2 N J s A + 2 h 8 M 4 Y q t 4 Q o h a z q c M / J w z V D u 7 P k 7 o j H R g 0 S q d p h j R 9 C A 4 S V b H d E J S / N c V M d B o 5 g H T e K A 2 5 h s k F Y S w Z Q 4 a / G X G i z 8 R c P b V r n 6 + I q d t L C I b F H 7 L O K 6 n M C K F o b b m + T W z / B W V G 0 T 8 y V h y q E 0 j Y D I n r J h 6 / Y 3 v S s 1 k Z i H 6 E Q n 4 8 d m C / Y i b 6 X 7 F 8 Q U y M e b U F D o m x U S 2 D O 7 o 3 7 3 r X b h 9 Z f s e I H b W f V x H e f M Y A v 5 2 m Z U S I w w F n t Q s F Y U 4 S O o M p z N g g g x B s B 0 0 u + m N a j X f R y K L J a m J + Q H w N Y 8 G 1 M k l O Z r o 3 c R V + X 5 t o J i 1 F i h G q W G 4 C V r m f z e x Q Z h H N F W b X c / M 1 m z L N S k o j V m s l u Z + Y x S K 5 D W K C c P A Z W O G c i o N t Y D + J S c j x K o s S q 8 z V E A j 0 i L C T 5 1 A W g W g x E X A + q 0 s 0 8 i I c Z X H y L S I 8 v J z E z M k r T T 0 o m k K 0 r j C N J g y M m I r 2 i b Y w Y j w 6 o O Y q v 5 o 6 o p j K a C 6 L G S u D J o T u N w 0 r M 7 c u w t Y s U n 4 x 5 c O J v W 0 y h m L S 1 u a V P 8 w E A a c o n z J 9 Q q G X f P 2 K P E c J b s e U m I 7 z s F n M I o w 0 X 3 0 0 a h X t D 3 w y Y U H Y G 0 V v + 6 z K 6 P C J N r b a U n K N p J h h U W E W f T E s z W B G Z h 3 K f + K U D c c y V x Z h w i k c q g F h a g o n 5 R d Z p c + r + 8 U q k + s 7 2 u U 8 R g e n l c K g j c N j D G L q 5 g p i v Y n G L x u i + P 8 A 4 H 2 3 K B c x 6 A c A A A A A S U V O R K 5 C Y I I = < / I m a g e > < / T o u r > < / T o u r s > < / V i s u a l i z a t i o n > 
</file>

<file path=customXml/item3.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4 8 3 8 2 1 0 e - b e 4 b - 4 6 7 5 - a 9 6 a - d 5 1 d 9 6 6 7 c 0 4 6 " > < T r a n s i t i o n > M o v e T o < / T r a n s i t i o n > < E f f e c t > S t a t i o n < / E f f e c t > < T h e m e > B i n g R o a d < / T h e m e > < T h e m e W i t h L a b e l > t r u e < / T h e m e W i t h L a b e l > < F l a t M o d e E n a b l e d > t r u e < / F l a t M o d e E n a b l e d > < D u r a t i o n > 1 0 0 0 0 0 0 0 0 < / D u r a t i o n > < T r a n s i t i o n D u r a t i o n > 3 0 0 0 0 0 0 0 < / T r a n s i t i o n D u r a t i o n > < S p e e d > 0 . 5 < / S p e e d > < F r a m e > < C a m e r a > < L a t i t u d e > 5 6 . 8 7 4 4 6 3 1 7 2 5 1 2 8 1 9 < / L a t i t u d e > < L o n g i t u d e > 2 4 . 6 4 6 0 0 3 5 9 1 1 1 4 1 3 < / L o n g i t u d e > < R o t a t i o n > 0 < / R o t a t i o n > < P i v o t A n g l e > - 0 . 3 9 6 5 4 5 3 3 7 7 7 3 7 1 3 8 7 < / P i v o t A n g l e > < D i s t a n c e > 0 . 1 3 1 0 7 2 0 0 0 0 0 0 0 0 0 0 2 < / D i s t a n c e > < / C a m e r a > < I m a g e > i V B O R w 0 K G g o A A A A N S U h E U g A A A N Q A A A B 1 C A Y A A A A 2 n s 9 T A A A A A X N S R 0 I A r s 4 c 6 Q A A A A R n Q U 1 B A A C x j w v 8 Y Q U A A A A J c E h Z c w A A A 2 A A A A N g A b T C 1 p 0 A A H 2 p S U R B V H h e 7 b 1 n l J x X m h 7 2 V M 6 p q 6 s 6 R z Q S k Q i Q Y C Z B g j O c G W 2 Q V q t d r W z 9 k I 9 W a + n Y / m H / 8 z / 5 + N i S j 3 2 O d R x 0 j i V n 7 W p m N Z y d w F m G I Q k S B B h A E o H I q X O u r p x z + X 3 u 1 1 9 3 d a M 6 A i R n R n 7 A Y l f 4 w v 3 u f f N 9 7 3 s N r 3 + W b u C 3 F C Y j 8 P x Q C R + N 2 v C s / H V Z d v + o j U Y D Z + U 6 1 b p c d A v 0 + L K o 1 J 0 4 2 l V e / k Z D o 1 5 H r V Z H o Z C H 3 e 6 A w W B Q 3 5 v M J v W 3 W q m q 7 8 w W s / p M V P N V m J 2 r n 3 U k 8 l m Y j S Z c u n c Z j + 8 5 g l v j t 7 G Y W k K b N 4 C g N 4 g j e w 7 j 4 2 u f 4 J k D T y 6 f s X 2 k i o v I l R M w m U y q b Y 1 6 Q z 1 / o 2 5 A 0 D 6 A X C 4 H g 9 E A j 9 u z 8 g x E u W a A 1 d R A e i w L 7 7 B 7 + d v W i K V L + H L W J f d Y f b b 4 4 i Q s N h c 8 / v b l b 9 Y i 7 K l J n 1 a W P 3 0 7 q M s Y F o t F R K M x h E L t c D g c y 7 8 A u Z k 8 t q a O X 3 O 4 r F o H H x + 8 q V 4 u m 0 b E e 9 s r O L W n C K O h I d / J 6 y G Y i S D h v L S n g u / s K + J Q 5 + a D O p t y 4 2 D H g 8 d U q z V 5 V e F 0 O o W Q t K 6 v V i s o F U v I Z r K o N + o r z E U U F g o t m S l T M s J i s q J U K a G 7 r U v e W 9 A d 7 s a p Y y / g x S P P w + v y I J V N C X O 1 L Z + x M / j s H Q j Y u 5 H P l l A u V V D I l 5 C K Z a U T 6 u r l d r v h c r r W M B N B Z i L q Z T l u C / i c q 8 + p w + 7 y Y f b 2 p 6 p P W i F b M q D 2 L Y t / o 9 G o n t t m t 6 0 8 P 4 U N Y T A Z f v M Z K l e 2 Q B / W g K V P G E l 7 P 9 B W E 2 a C S H H g 2 Y G S 9 u V D 4 s w 9 G 6 a S Z g S d d R z v 3 Z y p L M Y H R 5 4 D o D G N G U a R / t R E V q s V Z v l M J r P Z r G u I t F K o L b 9 b R T x v g s d W x / / 1 5 v + B z 2 9 + D o s w 4 P T S H P K l g r r m Y m I J S 4 k o q u U K 9 v b u 5 U 2 X z 9 w Z H F Y v h j o O K c a 3 2 S 0 I h L 3 S X h N S t V l N c 8 l L R y J v R K W 6 e h / f X g 9 K m b X a e T 3 U c + Y X l M T X 4 R S G C g 0 d R S G X X v 5 m F d T 2 j / d U I D T 7 r Y N a y e v x o F w p I 5 / P I 5 1 O q 7 8 N T / 0 3 n 6 E I k m 4 q 5 x U G s q D d V d 8 t D W 2 I d N G I e E E j o P t R M z 4 a s + H q n E V 9 d t l b 3 y x X X t u 1 N O c I o 8 G 4 I t E I n b E 0 z b R 6 L Z p Z r u 5 V c 0 I + y r 0 t a H N q T H b q 2 C l 4 H B 7 c n L i N c C A E l 8 O F u 9 P 3 E U k u 4 s n H T u L a 5 A 3 c G L + x h k G 3 C x K 5 9 m q I 9 r M h u V g Q 4 t F + o w y u 1 i u I l c e Q r M w i k j E i I A L G Y m 5 g L i 3 P L O 2 s 5 M R M t T 6 o g Z p h k H 7 Y 1 + O Q v q i v 9 o e 0 1 S b P t D B 2 B b U m L f X 8 c A l L O R M c D 2 l l b A f l B 2 V Y S 5 C p a P J S s F A o F u M l x G M J / E b 7 U E Y x P x r L R N h o G P D s 8 A J c Z r / 6 / C i x k D X h + j I D b R f U j q f 3 F t V 7 M l O 5 X I b F w m s Y Y L E + a M b p 4 G D U 5 V m c c z c w N t m B n u e C q M g g i 3 J o C T 7 3 h 1 c / w s u P v 6 S Y N Z 5 J w C + S 3 q C u 1 B p k s m a m b g Y Z 6 c Z s D b G s S F s x l x 8 L F V A w J e G w i U l m 6 h E f 0 I C S Y U H M T Z O Y 0 i W x C g b X M u 3 V j 0 W d P L / 8 o T V m k i Z 0 + 2 q o 1 6 q 4 N x V D z h R G L C d 9 I t f h P W f H b s A X 6 o P H F 4 T T 2 s B z g y V p r / r 5 a 8 V 8 W j R w w Y A D H Z r w 2 w o l 0 c o 2 E S T E / E c R h J 5 r + 8 1 m q G a w r w P u J E 5 0 2 7 U v H g H e u 2 v H c H s N Y 9 F V a u a g N g n U l f e t 8 I J I V r t 0 O B m q V q u J a S c D V r a K l n n Q x + B 1 r s 2 Z U R U i M 5 k t W B I m t g u N d U W W s O c Z z / J R r W B A I p f C B T H / e j v 6 c K B v H 1 7 / 4 H X 8 y e k / W v 7 9 Q d j n b 6 P Y d W D 5 0 1 r U 5 P 4 X 7 y a R N H S J v 2 B S n 0 + P F F E 1 Z O A w B 5 a P I v j g D 1 J 4 / F I c s b 4 w 9 o Y 0 o q z S 7 Z L D N j L V 2 C 9 8 0 T e Z n E / i f r Y T 2 V Q c x W w c H f 1 a G + m 3 a m g g X p 6 Q / z / Y 6 U H r 8 P K 7 R 4 9 0 d R 6 V e k G e l l Y H H 6 S B g H V A v e e n Y k y E p U v M Y L v p N 5 + h P P Y S C h U z D n a P i k l g h d f c i U x 1 E R 5 z x / I R u 8 P l G S t i 4 h t s B o c o n M L m r p T S V L V K B S / v r W A + Z 0 W / v 7 X 0 y 4 n D / c 7 b f w 2 z z Y N G t Y D 2 j h 4 k Y x G k E n G 8 9 N I L 8 A d 8 c D s f F B Y 6 s + r O M t E c J S S + v H h F / T 2 w f z 8 i k Q i G h v r V 8 S p y J 6 9 Y P I V Q e 0 A F T J Y S G X y 1 1 C a m j F W d Q 4 Y 6 3 l N C u 1 v I S c 5 p h b v 3 R n H m z I f 4 0 3 / 4 D 8 R n N Y v Z V M F i P C 8 M 7 l c a Z y N t q I P 3 X V x Y R K p q x 1 j S h + m b 5 9 C 1 7 2 m 4 v W 0 Y b K t i T 7 C C Z H V G N P f G n W 0 3 t M F l e T T W y d l R O z o 9 N e w P V 5 C v J l C o J 5 Z / W Q + x N q Z D c P c 7 Y b R o f f M b z V A e e w G 1 u g k h X w R 7 / A E Z P J P Y 9 d P w W 3 r l 1 w 1 E 4 h a Y S Z l F D t V x c 1 E j K E K T S Y 8 G A W c D h z v K s K 3 z B y 5 N W 5 E t 1 l F p m M V s L a L c 0 O 4 / L A T V b i n C 7 l 5 t T z P I T F R v O s 3 G 4 z G 0 t Q W V V q B / R i a b m J p F R h x n n 9 + P m Z l Z L C 1 F 0 N H R i U J B G D c Y U P 7 Z s a O H x W 8 p 4 6 O r U Z T t v c J Q G l N q G q q w b K 5 u j B / / 5 O f q e p 2 d n X j 1 l V O 4 8 t U 1 F Q 3 0 + b 3 o D L c O g + v g M 5 R K J f l b x 7 s 3 G 8 j E Z n H 6 R T u K F Q / m E h 0 4 3 H d 3 + c j N 8 f V p K W r G S f n / W s s i / 6 U F f c / 2 r S G 1 3 2 i G I t G 8 I u Y I t Y C O W q M q T D W F N u u Q P O f q D w y 5 M l L d y r G d T J g x G j W j x 1 / D d G J z Z / p R g W Y M m e D K r B W p I h 3 9 5 R + a 4 L H U c c g U F w m 4 + Z x O M y j t y f 3 U C m S m 9 d r q k 0 + / w H P P n l z + 9 C B 4 / p n b c g 2 z Z 4 3 J Z 1 l 3 n Y 1 Q L Y p p K 6 a P D r a j X q 8 p 5 5 2 M w 0 A H 2 0 X m s 9 v t 6 j 2 R S C Q Q C A T w 1 5 e y m L j + K Z 5 7 9 R S G u x b U b 9 s F g 1 K M 9 D 4 K J N M 5 F P I F d H W u C o O E m J v 1 Z a b K f 2 R H 3 3 e 6 t f f 5 v P p L b G 7 T / J q D B H n m n h 0 f 3 r f h f f F 3 C J P B r C R V M z M R i Y J R M d 6 5 M S s W 0 k Y V z b k + b 8 X d J Q s G A l U l p b 8 p Z i I 4 S f y + t J 1 m Z S t m e r K v g p H M 4 o 6 Y i W A I n r 7 a R m b W Z s x E 8 P z T B 4 R 5 G m y U d o 1 8 g U G B 1 t d b j + L S 2 i k K M l E s F s f c 7 J x i J q I g B M g o G Z m J Q R A y k 8 / n V U z 3 6 m N m 1 E p J d H g m 1 b E 7 w W Y m 4 X r c u T u K s h 6 6 b E I y q Y X s 8 7 m s M E p W v d c R s A 6 i U T O g d s W 3 w k w E n 2 N R f F 3 1 / r c l K E G E X H U c 6 1 k 7 / 8 E x P D d m X y H a V n T B C U n O 8 j O S x o j a r w O e b E T g 3 + 9 d / r R 9 6 O H 5 q e k p 9 P f 1 P 6 C h t g N q q Q / v C D M Y R Y O I x j + 9 r 6 o Y b T u g N i r E S r C 3 2 R Q T Z j I Z e D w e J d 7 Y 9 U a R a t R 8 G 4 H 3 / v m 5 S b m 3 G Y H O E R z u H Y f V s n Z M G R x o W w 4 K E L x P t V 6 k i o L F s L 2 g 1 J U r 1 7 C 4 F F W a k q H 7 y c k J / N 0 / / h N l J k + M j y E c C q t 5 p i + + + B J + M Z U P H N g P r 9 e H X D a H a 9 e v Y W R k B D d u 3 E C p X M L v / s 4 P p I 1 m u V b x t 4 u h a N L 1 i 7 Y Z E M d f T z h g p O 4 3 E c c 8 G Y S 6 d h a q 1 8 P z n B c h r V H i 6 y b V T k A C p W b 5 e M y C I x 1 Z B D y i T V o E J P T j m h G L x e C o O l E X 4 U Y W o h + 1 X W b U k S m U 8 c 7 l r G q 7 t y 2 M E 0 P C 3 Y J E z g s r H D L G L v X 5 4 a C x O J m b Q o D z Y h 9 / e g H d X Z 0 Y H N D M x u a + y 0 z k 4 O q U f r A Z M D u 7 i N 7 e b n w u z P b U y S f k V / Z D F a l U + r e L o Z r B v j g 1 X M S H o 2 s Z a l + o g m j W h L i Y g N 8 0 q A E Z M l / M b H 3 v L l c V h 3 p a R w R b Q U 3 E i l O f z 8 v A C x E 3 Z z J s B z p B U J s o R p T v J p e K q J U L G O o J P B D h o y Y h 8 1 B 6 8 3 g G F c j I Z O j M 9 T z a n w j s m J F 0 s C 0 f X M 0 g l i n B 5 z H h w H A N Y 0 v 9 8 o x a G y x i U V T E o i B O 7 S m p z 1 8 n o l f E v z s o J q l t 8 z 5 l j u M 3 T 1 X f E D i p e n P x Q Q l P n + n b Y C a C 8 7 m l b f J I p 6 + F Y 7 U R h J 7 o G M f i M S V x d 8 p M B E 1 h M o C e J V E U B g k 4 q p h O 2 9 V n H T V h J D I T i b 6 t r Q 0 2 m 0 2 d 5 3 D Y l f n E z x 1 P B m H Y R h L x R m D 7 n x q x i n b q x O J C D J f v e l a Y i d C Z i a A v 2 m q c H x V m z y w i e F S E x h b M V B d N X Z F + + a 1 i K A Y d m L t 3 o K M i A w B E R B M 9 a j R H F H e K n P j r y W 0 y c 7 Z s V C k 8 2 w E J n B x B p / / e v X t 4 6 + 1 3 E B d H / 8 7 d e 8 r h 3 w x k F p 7 P 4 x h 1 0 5 m R 2 s Z p d + C F / R r D 0 L T j c T l h X D I v w + r N G k i l K V k s 8 r 0 R B n l l x t c 6 9 D u D A S 6 n H a f 2 1 u A X k y 8 6 d V P u v 3 H A Y S 6 l Z T g 8 S t S r D S x + F k P P 6 Q 6 V W b 8 V a B J b 5 f l / q 0 y + p / r L 8 N p F w s o T M R D x q A M M 3 2 T Q 4 k U x Z Z A u w R Z o P f / U j G q l g v v 3 R 5 E v F s V Z 3 q M I n / N O X 3 1 1 T f 3 + 4 o v P K 9 O s 2 S f Q / Q b F j A K a d O s 1 G 3 / j S 9 d a K s N a / u n H N V + P x 5 H p b M p / M y B 6 O Y H 2 4 8 2 Z F b v D v f u T m M v Z 0 X D 1 o 1 r f n L B f F a u k q U m 7 R m F R r i O S 2 R 7 c u u / X 4 7 d G Q 9 G c I j P p + D o I / 5 u M A B p E n W 3 F T C X x V 6 i J E s k k 5 u Y X s G d 4 S G V B k 6 i Z u f D U 0 y f x / P P P 4 t K l y / j s s w u I x + P q P A Y T c r k 8 l p a W k J J z G X l r Z S Z S A / F V X J 4 z s p g t 6 j M Z q Z m Z C H 5 U z K f C 7 W K 2 O R + e t F Q 7 q 2 Z M T 0 4 i I e b s 8 4 O r 8 z 2 t c H H a 2 n I K Y i e Y P 7 c E R 4 d 9 Q 2 a K 5 j Z / L t M f / + l / + U + X 3 / / G g k s l X h w u r U i n K 3 M W F C q / u b L i p G j a 9 O U Y P P 1 r o 1 l k H I a h p 6 a n F U G / / / 7 7 s P i K 8 L n C 6 O / v g 9 e r h d l p r g 0 M D u B X 7 7 y L v X t H c P D g A b j d L l y + / B U C A b / S N m Q g R u C c L i 7 y e 5 C Z d F B z 2 R 2 O T Y 8 h e E 2 a g t p k r R G O d j u y M 3 l Y v b v 3 b / i M A Y 8 N + e S s a O t x t A d 9 O N R r x U S i d b C j W D V g I m 7 G c H D 7 w R w d d e H E x I 0 U w i e D y 9 + 0 B s 2 5 z R L p f y t M P m Z L M G S u 4 4 P 7 d t Q e U l J 9 m 3 h l K A 9 O 1 S T F b I s s R h A K h 5 S 0 r o h p l y h P C X E b k c 8 W 4 Q 9 4 E P R 3 w m M J L 5 + 5 C u X z y E v Z 9 U K Y P J 8 a a m x s H J c u X s b J k 0 / i 2 L E j a m 3 W w 0 A 3 B 4 l s N i t M r a 3 i l d u h k q 7 C 5 l + V 9 D x O z y H U w + 3 N f h h B L c c V s T Q t a W I S j B x m s z k R J m k M D z O 9 S I T J v Y 2 n Q 1 a T a b e H W r m G c q o K R 0 i 7 3 8 P g t 0 J D + R 1 1 l e a f E o f / / D g n F J d / + A 1 E l 7 u E 0 r 1 5 z O c W V c J o X 3 + v m G Z R u E S T k P g c 4 q z f u D i B o 4 8 9 A a f b K s z U O g m Y h G s W r a K b Z v z L R Y x d X Z 0 Y G h r C F 1 9 8 g Z 5 e L s e o K a 1 H Y l f z V 9 s E m Y K E v h S J i P A S / 8 p m W w 6 b V 1 A q V Z A T 5 n J 4 H c j O 5 8 T 8 4 1 w P l / 4 X V L t 0 J k y n 0 r C u L K p k U I V r o + o q u M F n n Z + f V x k V / J z P r 5 7 L i C K 1 k N x G r V 5 e D 0 Y B u S 5 u O y i n K 6 j m K s J M j 2 a + 8 r e C o R a z J m X b j o u 6 / 0 0 G i f R J M f d + 9 v 4 v 4 P Z 4 0 d 3 V g x / + 8 N 8 h G G w X H y K J 7 p 4 e v P 6 X b w g T a D 7 Q 7 H Q C f X 2 9 O P P h O b X k w + / b b J m H B h I v i b + v r 0 9 p r A / O n B W m 7 c O 5 c x + j p 6 d b / b Y d 6 I x K k 5 G m I 4 l d v e R 7 M g A Z g c 9 j F G 1 K t 8 o g G p f f M + 2 I 2 Q W F X A G B N i 1 o U S x q q U 1 k U J q L S h g I Q 1 G I x G N x u Y d T M d H U 1 D S u X r 2 u f i 9 W 6 l g q u V G u P c h Q X B C 6 H b O P t S 9 q + R p c v Y 9 i o l j D b + 3 E 7 m 8 a u N g u v j C G J y p V L D r n c e T o E S F U D 2 r V m p L a x W J Z m V O L S 0 s I B d u Q E v N H m X M w q r C u X 3 4 r i 0 m 4 G W h O c S 1 R P p d T D B k K h T A 1 O a X 8 L Y b N O b H b J k R O P 4 j m J Y m c R E 1 G W A 9 e S 0 8 r W m + 2 r U d N i D 9 9 L 6 M K t 3 D N E M F r 6 0 x J M O r I 0 P v 6 a 3 H C m P 4 b v 6 d 2 o j n I 7 8 6 8 / w G + 9 / 3 X E K v 4 c G 9 p t X 3 H e 8 p Y y J i 2 r P s R u R B F 8 H g A p i 1 W F u 8 U / z 9 D / R r B N T u H A 8 c 1 i e v 3 + d Y Q X K 3 B e g q r h M M J V p p X V q t F + U G 2 7 B L K n r A i 1 I 2 g / B N G 7 B h k E C l P U 4 3 X c D h s w k B V 5 Q O x P s L F L y / L M T a 0 t 7 d j b m 4 e p 0 + / D J + 0 Z w 3 k P v T R F h Y X 0 d n R s S V T T Y r 1 w K z 6 4 W o C p W Q Z w S O i n V Y f b w V s Y z O i 0 a j S W k z 4 p Q a b G J 9 E p 5 i t 6 V Q K e 0 b 2 K O 1 4 Y 8 G i m Y B y q t / R Q F r M Q C 7 s L A p P e W x k 3 O W L C V h a Y O H T K L q e D y 1 / 8 2 j x / z P U B s i l s p i e y + D g Y 1 3 q 8 9 1 b C 0 L k F n T 2 B E V S y h c y S P l U B o G A E 9 l c C d f v J H B o x A + r 2 6 X o R O / U T e j 7 A f R M z + H g q w 9 W K i r W 0 q g 0 C m s W T T L N i F q E 5 p P T 4 R Q z S H T V F p E 4 g h k O m U x W E W I r J t A 1 E 7 V S S o j 2 v J i C 3 3 3 t O y 1 N Q W q V p c g S 2 k P t o k V 2 Z m 4 v X Y w j 9 M S D z 0 q G o l 9 H s 4 7 t m J 6 e U c / K d V U U M N R W b C M j m j Q r t w K 1 X j 1 T h C s / i V L X A U Q + j y H 8 1 O a R v I f B b 2 5 s + W v G l R t L q J T r O H t + H B / J K 1 O o C t P E V P T w w h d T G L 2 7 g N H J t B C 7 O N x C B O l M C b M L G d y + O Y 8 v v p z G V 9 f m M D 0 e W b 7 a 9 l D a I C h g N 3 n h N q 2 N 5 N E 3 o U N P Z i J U i T L R M v m y A Y n l g j I s p L I e l P a 6 5 m O d w P U g I z G 4 w G N o Y n G x 4 k b a h 9 f i o k U K D R L 5 T k B m W h S z q x V 0 E 4 8 a 8 9 N P L y D Y 3 o Z w O K x M V K Y 7 d Y h G 3 J K Z p E 3 T b 8 8 L R 4 k Z 6 X N g 0 n U I l U x F N O O j r z n S j H / v N F S z 9 t g M z W a C A k + S 7 0 g 8 a 0 w I f u a b 5 e / i k R S S 6 R K G R 4 Q B 5 L f t 3 E t H O B r D 0 e c e d J C 5 a J K X N x p a E z Y l O X 0 t T t S S 6 I p 1 C z 6 b t O H Z w R J c 1 g d b o H w p O Y c L 6 O j w a 3 N M D G V r D K Y z E I M W n 3 7 y m R B 0 E I P i Z w W E e W z i X z W D 2 o T X 4 r I G j 5 f B i Z 3 5 J O W c a E z x r / y H f D B Z t M w N + k m M S N L E + / L L i 3 j s s Y O K k b a D a l Z 8 0 Z t J + I 5 6 8 f F n F / D y S y + u D F B 2 N A v n k E M F T g h q 9 U e N f 2 8 0 V I + v h l d G S n h 1 m 3 M U Z J Q 1 r + X v 1 v + m P j d 9 F w j 5 M L S H v o z 2 / U 6 Q 7 1 z n p y y D N T I 2 Y i Z C m U J m o 2 I m w i 1 + A 3 M a P 5 1 g p d t V o s l k 8 0 K w W l i a L z J T t V 5 G N D u F x c Q M I t k x 3 L p z T y 0 o J A G S i L / / g + / h 0 K H H s L C w q B b R J Z N J 7 W L L I G 3 S z 3 G J q b t T Z i K s L j O C j w c U M + U X i z A 1 j M q 8 Z N C E Y X Z O S j P r g w G Q z Z C Z z C F 5 O w 2 z 2 y w m X b v 4 g N o E M 5 n y 7 N n z + G / / 2 X + H 8 f i E 8 q F m Z h f w y 7 9 + a / n M R 4 v f a g 3 F y V 5 W H m o u O k n n + F 5 0 Z / b + N w W S P u s 3 b C c Z c z 1 o 7 l G 6 c 6 m 6 P l n L E t Q h N 3 C w Q 1 t F + 2 / + / E f 4 D / 7 e H + M f / d k / w X / 4 9 / + + M v l u 3 r q J P / l 7 f 4 B f v f 0 B n n z i B H 7 y 0 5 / j D / / 2 H 6 g J V G t T 7 b K K E G Z a i J q m H c 0 v + j g 6 e N + V e + / Q l 1 q P + X M R u I 4 5 M D s 7 q z K 4 7 9 0 f w 9 N P P 6 F q Y P C e V d F o p X Q Z 5 X h F L W S k 1 P I d d M M V 1 k z f 9 e C 8 5 N 7 2 K j o 8 N R S j J T h C W i 3 A r w u / V Q x F A m F Y u C 9 A I m p t 0 8 + l z L i 5 + O v L U K d 6 c z C 3 K F O 8 F W j y 0 e e h t t p o l e 7 C 4 h J + / P p f K W n / y i u n 8 O S J 4 / j 4 k w s 4 d G S f 2 C o N / P i H P 1 M + 0 W v f O Y 2 K X M / p 8 c P j I J N o S + q p p S Y m x k V j H V p J c y L I T J y E 7 e r q 2 t D f 2 g 5 4 j 2 q 5 q l K s p q a m c O D g f t i t d m S n 8 6 g k K / D v 8 8 L i 2 X 4 q 0 5 2 I B f v C F d W v 1 E z E b o T V T v B b w 1 A m I Y i n e r M w N C q w W W 3 L f s G D o A n E G h S / r n i h L Q V 7 + / b b p y 9 5 J z H y p S Z F d 7 T s X Z E b a v W q 8 i 0 M n I E V k E n G p u a w Z 6 B 7 R e v w + p y v G h + f w L F j R x X z U N r T 9 + J v 7 P N m z b U e j B r S 5 9 r I H + I 9 5 + b m U J y o 4 P r 9 G 3 j u i a c R P i z a c J f 1 l 5 k x 0 b z 4 s F 6 p r 5 T 7 + r r w 9 V 7 9 E Y K l f l t h M J j B 0 8 N T e G J w H N n 6 h E r X 4 e D q E F J B q b Z a K 9 v c o u b 4 r x P S 2 1 5 H 1 F C b D K T T K f W J 4 X B G x X Y C C m 3 L j T P I V y n 1 z c i U z J h M G J D M N 1 A o 1 z H Y 2 7 l G M F H 7 O R x O J O K J F Z 9 G j x p S O / K 1 H v p Y x G M x v P f u + 3 h T f J f p 6 W k V 8 K C P 1 A w T F 0 e O W 4 W J g j j 4 7 D 5 Y + y y 7 Z i a C z N T c p O z U 5 t n q j w K / M R r K Y G j A 6 8 j D a c 3 B Y 5 e / N q 1 8 G E 0 8 / p + w G w K w N O g c a 6 k r G 4 E a a q u 1 N d 8 W n m q f h c f X p n Z y 2 A w k 1 E w 6 o 6 J h V D K 1 B m v 9 t f Y j 1 o M 0 P p 8 x o c t b U / q p G X T i 9 R p + 7 M d W G o f p Q L / 6 1 X s 4 + d S T K 6 Y f m Y P h b G 5 4 Q H C i O J f L Y n E x o i a F P / n k U z w h P p r H o 1 V x U s E N l g J Y M s D b 4 Y X d a 4 U 1 a E O p U c D 1 6 z f l u R w q g 5 6 l x R 4 V m B 0 R f n r z G o E P i 1 / 7 X D 4 W o n 9 y Y A n 9 b T J g n g p C T p G m R h k M Y T C d k W i m B K 1 D s J q 0 / D G i m R C y 1 S X k a j E 4 T F o U b b C t p m r x N S m y X x s M d 5 W Q u l G A s 2 P z Z E 1 m Y 5 P 4 m Y Y z N T u J s o n 7 O X F d 2 O Z 5 a X x m P r b X r l e F X w t q J M 5 D 0 T R j V j v N O W o e L s 1 g n 9 L E Y 1 5 d / 0 C f / L 4 q t G 7 e v C W m X E B F 6 I q l o m i x O C 5 9 9 j m 8 f h + u X b s p f t d B d H R 2 w m l 2 I n 9 b h G H N B F e v A + e u n c N U Y g r 2 N j v q Y G o U c O v W b R w 9 e n j F N O T 9 K 5 W y 3 H 9 3 R W d 0 1 E p 1 2 N q 2 n w C 8 G / z a a 6 h X 9 m Z U y g 1 N C 5 J C X W z 9 Y j 0 D u 5 E z 5 z L g j Z L 8 v u p z 0 A 4 n m j U U 0 3 Z y 1 T i 8 6 z K z x 2 I W e e 0 8 A P B 1 g V r 4 h e G Y E F w V g U N b T 0 A y C k Y G E R Z E u r i E g G U A V o t V L c d u h V j O A L 9 D 8 z c 3 g h 5 g I G N R + / C v n s t H Y U X i J i N z Y p V l n R n x Y 1 9 P R e 6 i k j a p h N c v v r g o 2 i q E J z L X U X r m T x C 5 F x V t B P j 3 + O B s X z s h q 7 I 9 S m W 5 L 8 s W 1 F U C L K / P d v T 3 9 y v G n p u d F b 9 t E t / / w W v b n o / S 0 V z Q X 2 0 c V x M / 8 2 v 0 o 3 6 t G e p Y d x k h t 2 Y E s 9 Q v Z Z N K G n W 5 c O f O X T z 3 3 D N 4 / S c / x d E j h 1 W m 9 M V L V / C 9 1 1 7 F r 8 R W / 7 5 x F P X T f 6 q I Y C v 8 O p U a e 2 k k h s J o X e 2 x t H 0 0 E M m P o R y z o r O T R f 4 f T E N i 3 Q X u e L E e 7 B 9 9 c n a 9 9 O d 3 Z B b 9 e 3 7 m i 9 p K W 6 p R V p 9 h E z O x E I O l 7 M f c 3 A L a g 0 F k 7 x Y Q F q b y 7 n W h I f R L Z t n K F C d 4 H M 1 B p k f p 5 i H v z / u w j P T h w 4 f W W B + b g R s u B J w 1 F Z z Q K w Z H L y X Q f u L R m Z H r 8 f W x 6 k O g U a / B Z a 6 g z b E a + q Y t T Z N i Z m Y G K b H x X 3 n l Z Z w / / 7 H Y 7 n m M j o 8 r m 5 1 S 8 + c / / y U W F x Z Q e + U f a o O 9 D X B B 2 u 4 N i U c L M + w 7 W u X K Z 6 x W a q g W G o q Z 6 F P q F V q b Y b e s e u c 8 h 0 E M a g E y E 1 e r r m e m B e l D f t f 8 P d + T m J k H S M 3 F r H S u B P Z Y g + h w j K A x J q b 3 U h j n P v k c t a 4 G 3 r / 9 I T 6 7 d A l n P v g I + S J X V G / d y 7 w + t d D A Q D 9 8 A Y 9 6 z 7 F n m 7 k F 5 3 a u o e P q v E V N c D d H + m y 7 q B O x E / x 6 a i h h q F N 7 8 q r z 8 o g q h 5 t m n 9 e s J a o 2 Q 5 e u y V Q S N S G k j u V s g Z 2 i X j f g z K 9 B O J 3 M z X L G 9 o 1 W j 5 I Z R I q T o G n y 0 c c h Y 6 j 8 O 9 F M T C R l f 3 A D N 5 V i s 0 y A h V J V G E e r n a f q x w n h U g D x X J p 0 z Z p D 7 Q X M e 8 g x r c z H Y q K M 3 F R e 2 / p T L u 8 W X 8 j R u W r K / f A v f 6 K W 2 t N 8 c 7 m c K J U r + M H 3 X 0 O X a K z 1 o H W w p 7 2 C I f F r m 1 G t l 1 C u 5 8 T n a l N t v H j x M v b u 3 b N j k 4 8 g g T e z Y S V b g c W 9 f a G 1 E / x a M h S J i p 1 I b G Y i 8 J h Y N K Z y z d h t 3 M f H b + t b y d X a G O u 7 W A M T S z + Z + H a Z S t X G y A v h e x + U p A w I 0 D l n W o 7 H 7 U U i m Y D f 5 9 e Y Z 5 n w y W Q s C a x n h 5 P J y G C Z k g F u 6 6 q W 0 i W 9 l j f n k P M 3 9 y V 5 D W Z q W 9 w m + P Z 7 V r I x V i C / 1 + W l v W U g o 4 F o L I G 2 A P 2 w t S X H d F C R c i d I b v W 5 G f i 8 v / j F L / H y y y + K V u T K Y J t a p 7 V d x P O i 9 Z r 2 5 F o 4 v 4 T O F / 4 9 W L 5 h R g X P D N T h j t z D t f E K P L U A Q q c 8 s B l c q I l Z o 0 y O J o e S A 6 g 5 5 g 3 E 0 w s i 0 f L o C u x R x 1 G C b 4 R 8 N S m S r 7 X T z 1 3 s u L 7 m 2 8 I T v S W 4 q 2 V Y 1 p l 9 f E 6 u P 6 r V y 0 j X 5 l D L 2 R A O 9 L S c x F V a e 9 n s U 4 X 4 / V 6 k S y Y V k C B h s 7 + U q b c N v y Y 7 m U N m O o f A 0 y 5 x 7 p 0 r j L g e F G 5 c a 0 V i Z + U j X r 9 5 y c d m 9 9 g O O O / F A A b 9 t g / E h H z h x e d V 2 e T N x l m H v j u 9 D m p W o / X r 8 X a + V Y Z i L Y i q D H x W B p s E s 9 c 5 i f 7 e D q R y Z X h d V t V Z 8 f E U r G 1 m e H w u x K + l 0 H b Y 9 4 B y 4 Q D W G 2 I y i N m 2 3 V W k W 4 H z N D e F s Z a F 7 j c D u V m P t 4 y O W F y e c 6 3 j z I w I a h N K 6 H R 1 T o i k h H b b 8 O Z Z E d L 2 M k 1 A E c 6 5 c g N + J z t O y z I n M 9 G c o x / U q q / S Y x l V C s w a N s J i 3 H i p B K / D V 3 R p S Z m J n I s i S P g 0 L x 9 2 H F q B Q Z H P P r 2 A o e E h Z V o y G q l r 6 F b I i e V B X 4 q y g I z 1 d U b 7 v t V 5 q F s f / d + o 5 + a R X 7 i G w U A F n 3 z y s Y r Q T U 9 P i d l m x H v v n U H J U A Y z 9 G 7 d v o M D J 0 c w f z 4 C z 8 B a d R + v j K N U T y N X i a O Q r s D s b C B X i 8 B h 2 v 3 a F 6 7 0 Z F Z F N P t g D b q v C 1 w G b 8 j P w R W t w z P o V p q E L 9 6 e J h T n n M h Q T m t A + Z X l f B 1 m E 7 M J W h M G t / B x i 5 I w m w x w i E T m c 6 i p B m o P Y S Q y 0 3 p C 5 J q h l D C T f 5 8 P G S t 3 D Z R j T Z 7 l X 1 d B j U R G Y v t o Y p L I u d k a G Y j X 5 L 1 o q n G l r c 5 0 f A 6 t K x + u P 3 n N c L h D 3 U P f H Y P X t V h a B x y 4 y p 0 M x W 4 S + Y J / 8 x c / w v 4 D h 1 S G v t a e R 4 d v l a H q 6 U n s P / l 7 y C 3 d l 4 G p o b u 7 S / 4 a p I O 8 i M U T I n k 8 G B w c 1 A Z F i I A q 3 u I V w z A r j r R r V f L Z j R 6 R o n Y U q x m k R E O Z H T V 4 L C H p x N 3 7 Q + l C X Q i 4 g q X c a t j 4 a 4 f c h s T e L n 6 S v c u m 0 n W Y e U A t y Z 0 J f X 6 f C o e z P R a D U x E p N d R G 0 p l F H 2 0 t F A T P 5 9 J 3 / q W D n p s t I j O W V T t M e P d 4 4 F y u A E R J X m 5 k 0 a i Y Y D W v 9 i V 9 J D L S 7 N y c y k J n m / 1 + b g 6 w N r O C 2 e f M 3 6 O 2 4 t w W w / k k e p 3 B N C b b m c A i I 9 d U 1 V u D 8 q O 4 T P / C h c 9 V z U E W r N l q 4 S G z a 7 r z 3 S j M 5 O E V w c x k a U 9 T g d S H x b f u Q z E T 4 o n e 1 f 1 / K E E o S b g C l Y z U C v G b K X i G n L B w k 9 s m l G t 5 p H M x M W 0 o K R / O D 3 r 3 l t x b D b Q m 1 b 8 p G E X z 7 F m Y Q s 8 L W k S T p b a 8 P i 9 K 1 R w s J o e a u C X Y p k v 3 v k K / v 1 s x G j U D n X 8 S K Q l + I W N E p 6 c 1 o V Q L N c S u J 1 A P V h H q X 5 u K Q z O 7 m c B T p X m 4 z E H h o r V 9 w P v o m o i v j Z i a z K Z p W S 0 4 w i g k B Q e P p 0 9 U L B b E R B e T T b q b x 1 q W G Z d h f Z Y O 2 4 h B V A 3 1 5 X E h w 2 Z z O W U G v v r q K 2 t 8 N 4 I B l / f e / x D J Z A K v P P 0 y r o 5 e x 8 s v v o R K q Q y D W d o v / W Z S e w E / P G N 9 6 6 l H R z u L s F n W S i i O 5 0 Y D R L C G W r 3 S w N L n M b W g z O w w K 8 l l g E k I k p n m G 0 v t 7 W I 0 a o L T X E I N X + + 8 x X p w D d J I n x E 2 j 0 0 9 g 8 V q Q a V a E Q 1 h R 6 6 Y h s 2 q 7 f z 3 s / N v I O g L w u q w 4 6 / O / l y I y I F k P q 1 8 0 v / n r X + D R H Q K B 4 e b d n o X s T l 3 d h F G h w l 2 v x W u b g c s T m o / L U N 9 Y S G C b C a t 5 p W a + 8 4 M E r R B l W y m i a h D Z z o y s v 6 + F X i t 5 h c j k m R a v t c X O r I u B o k + U 5 + H z e A R Z t K E A r U Z m Y V g t D K b E W 1 p 4 N 5 f m n + t g + 9 Z 8 W l 6 a l r V H W x u p w 6 b 3 a F K V 8 e S c R w / c V x N s y x G x H 1 w + / D J p 5 / y B t s q w 7 Y V v n U N d W o k q c w 1 H Z z d D r l 3 V k T 8 3 m Q V Q X M G 3 g 6 t a m l z Z + 8 G Z E 4 O 0 K 0 l N 7 p 9 j W 8 0 6 v d i Z w Z W t w W F e h J O i x a Y I F H x u b j E X U / 1 Y f 7 i j 8 + 8 j u 8 9 / Q M 1 1 1 M s F x G L L Y o J 1 A G H M F c 2 m 4 H b 4 U T k y y h 1 L N p P t C m i b I a u O Q g + M z M U 9 P 2 e m r / n x L F Z G F 1 n i k c J 1 d f y f A X R V F 7 R V K w Q y 3 k w a m W 2 g W 0 k t P Z o 7 5 O 1 K X j M 3 b A 2 0 Q 2 j m W + / / S 6 + / 4 P v I i D m Z y t E L y Y Q P t k u 2 p V F Y O j b 1 Z A Q a 8 e 1 3 7 8 m C v g w e L S 9 s w s w I b I Z Q V d N 2 f 7 b Q b J o F E K q Y z w v D r b T j s j 5 O O p F 7 W T a / 7 m 5 v A p i F C J r l w l s B A 4 e B 3 h x c V H V v C t U T T v b p + k h w M E 9 1 l V A Y S m v R q X Q S C g T l u 2 h a c Q M b z K T L i z o c / 7 g m d / F 6 P x 9 v P H h L 4 T 5 r O j p 7 M f 7 F 8 6 g E i 0 j 8 0 U O l V w F 4 S f b E e J + T e u Y i d C Z R k e x U E R C J D j v q W d S M M c u X 8 i p g I j u 9 z x K U D h w H s z n 9 a l p A a Y b + Q O 6 C a s V a 9 H f 0 / L g i 3 s o N z M T w b H b t 2 + P u l Z L C L + U U 2 X V z 4 T + N / C Y T 8 2 v P S p 8 q w w V d h d h N q w 1 q T j u 2 R b l d V u B d u 9 H o 1 b R c G L u S f + G X 2 i D x S U m R E w c b r m Q q 9 u J r h f C c I Q d K G f L S N 5 Z X R e 1 H i Q e S j m C o V 8 O 4 s l + b b X n N 4 G 9 Y S H e x S X Y e + 1 K Y n N z Z J Y O I 9 F z p 0 B t 8 n o t E y x k 7 e g O d S G V S y O z m E X m V h b P H n w K 1 q A V X S + F V F 9 s F / R J W O + u L S C a T O 6 R y x U Q W Y p I P 1 j U 8 g v 6 J f R / H j V D E f S X + Y y W Z e b Z a p J 5 I 4 R l 3 K y W 1 o G o x K 0 0 u k + 3 L l v d 8 3 Q A 1 d L O r K K N 8 K 0 y V L s w l F j S y 5 9 W w f k p g p O s m 4 G h 7 X b m T 5 a 5 J c v q o 9 i C D 1 7 T 6 r a q T a C X L o k E L m h a k U 6 w L o 3 p p 3 A + g 4 E Q D i q h Z y l / 3 Y s S H + u s Y r B N n m W g T d 2 b 0 t g F 8 Q U M L N H V Q H d 3 9 w o h C + 2 h J s 2 J Z o 3 o M Y o 2 u w u 8 s u 9 F O N v t 8 B 5 w I t j W J t p 5 5 8 R B B 1 + 7 t 0 b U 9 K U 6 w p p g 0 T U F w / P 0 p d h n j w p c K V y o p t Q u 8 F u b k 5 x A e X A s d L M w L + b i R g z P x I C N Q O F b W C h h J m n C V G I t z U W 2 s X 1 r M 7 5 V h u p w W Z G t L i x / W i V w / W W C l t L P D t M 7 T f 8 t W p h Q j N D l K W H Y l 1 W D z k V u + u 8 b g Z u A c U 6 n U h A z K h p T 1 8 + L N K a J q J W V e l A n d X + N Z t / j v X x G m q c F F Y A g 4 R L p Z F r 1 B 1 f O z o o Z u D i b w s L N L K K f R x H 5 K A J 3 q Q B 7 0 K b q 2 w U 6 A y L h E 6 J h 4 0 q 7 8 b y H B Y m b f d o M t o 0 L D / U 9 o B 4 W i f K 0 P J + M X d 0 h 1 7 Z s w V A N x M o T c s 7 k 8 m c N N E W 5 + v f d d 9 9 H W 1 C E y T K d N K M Y L 6 H 9 2 O Y Z 5 p 4 B J 6 y 3 F 9 E f W N t 3 b V t s O s A d K Z m J o e N b Z a i G S M V q Q 2 O a 5 l c y q S 3 r T i 5 M C X H U k c m V l X 1 N R i l X S k g V F 1 H N W t W E o t d S Q k 9 3 p z p + s z k I X p e + C O d F I o l F T F 6 e Q k A G Q C + n x V n 9 j U y N V s s e H g a 0 3 x n F e n q g r H a J 6 A 3 I M 4 + t L s + m y V U 2 k 3 C N M G Z F s N z N o a s v g J 4 j P n Q + 2 4 6 u U 2 H F T P q x X L X L T H x u + 0 + i Z D / p P s J O I H y t X k S z c G t + T 7 O Y k + 7 6 9 + x T v t 8 N f O Y e G K p a Y c 3 1 z L s e z N M U H Q q v n N M M J v p y G 9 T v f v d V B I O t i 3 I m b m 9 s 6 j c j 9 F Q Q x a W 1 Z e Y 4 I c x M i 2 L F o L Q j / 7 F v Y z l a C 1 X 4 x J p i Q I O B K + 7 + 8 q 1 G + Z 4 e m o R N z J p s K r v s k H p U 5 x I k F E r n S A a q i t F c f k 5 M M G 0 J Q N A 2 S G 5 U 0 o g D w e 9 0 6 A N N R m m W e N R m J A Z O Q P J 4 / p Y Z z 6 k C 9 t v B 2 f u 2 R 7 S D Y Q P D b R W R h F p C K B m d R D D + R R q O / X 6 1 V 6 x D n t N Y G U X t h g u 9 L 3 e t t H d z C a 6 B z 6 + l K L V O K d o K N H H C H i 2 D n R q f Q o p E a 7 G Z U S q U V M S P C L T 5 h Z n E d 5 W 2 U U t w S Y e u H Z r n i D T w + 9 U x S p c j 8 F r D 6 h 7 b L Z C p V 8 H 1 m D q F g F e X + j O U z h X C P / v Z G / j j v / u H K l L Y D C 5 N Y e 6 e 2 b m 9 v i h G S r C H W / t h s Z J o R 0 M N m b w X H u c q k z J I o u N b 0 1 A + e x 0 O Q x C p R B p u Y S R K F x I B G Y Q v E o / d Y s B Q S L P p G 7 A i 7 B h B u 3 1 w h Z H 4 f T M z 6 W h F e B x r b g P D 4 3 U m d A + 4 s P h J 6 3 L A 6 3 F q p I Q O I b S H Q b u r i q c G N G a a m o 3 h 3 M c X E I 0 m c O / u G G z 5 A g K 2 A k b a y 8 D F R Y T b h t B / W t u / i W k 9 Z L z t g M f p / b g b k J l 0 8 D r s S z K L z W J X w Q m u y K V p x e s z D U p f + k F N t R R d k l d U M S L b r Y O m m o 5 q r Q K r 0 Y m l P E 3 2 2 r Y L Z L Z Z h t S r m Z k I t 0 f b S u f I k c O w W R + c f 4 p + G d 8 2 M x F k p r k z r U t o Z / O a d n Q 5 H i y G U x f a K p d r 3 9 7 E 7 p N 9 X O O k S W d G k N g p 6 5 m j m T H c M n C Z a l S k N 5 3 X 1 g N A Y u I g 8 T z 1 X j x 4 T U W L x J U B p 3 / B O R t d e t I Z d f c 5 k b y V B j e 2 M N s 3 7 3 g y 1 H B 7 b e U 1 F t v O Q G n 3 f 3 F E t K b c 1 m o y w G I 2 4 P q d S R w 9 t A 9 V M R + m F t M 4 8 8 W b e P / M h 4 o o 3 r r 0 j i o h z O f Q B Y e 6 k k g F 9 l E r I d K M V C q 5 0 q e t o F 2 H 7 9 Z e h 9 9 H c y b x C Q C b S U s L 4 v 1 5 H b 7 Y b 6 v v V z M k 9 J f b 5 V b M x + P 4 z P R J e Y y Z k + 1 G L V D E z + l 8 D K W M W C R u r R A M v 9 s M l X o B y e q 0 u u Z 6 h u J 3 T I h u b x e B L N q U a 7 i a w Q 3 V d r q Z m m f I h f x s / o G M / 1 J V n t O c k P a u G n V W e K W v W D a 6 i i / O f / T N a y g O W p e n B r t Z 8 5 c o 4 b b q U I J 5 e Z H M 5 g S s D y y d f F 6 z X N G W a N O 0 M M t 9 u D i t F T P 6 D 0 q n + E U y f b C 4 / M 3 m m E m Z 8 P m k R U 1 A b + W r O K 0 1 7 H f P Y C l d R 9 D J C V q N m B 3 m C u a X 0 q g Y 3 A h 6 z H j t + 9 9 T e X n n P / k Y h x 5 7 b P l s j Q D 5 T A S 3 c O F 2 M 8 z D 4 z N t B E b q d G b h 8 1 P I 0 O S l 3 8 b z 6 I e q z Q X k f f O L k c 6 A v Q y P R T N H 6 e z z + 6 1 A h u e r m f l o J t L / J a x m 5 8 o 9 S t U S K s Y s 2 v w d c r x 2 7 F Z g g R 2 C E 9 T r Q R q K R m P 4 5 S / f V I V h m p G Z y K p 5 p t 2 g 1 b B q z N r c B h H I F i 1 1 y 2 a 3 4 O m X X v p m f S h m U / s t c Z w Y 1 K T M T m 3 9 6 X Q C f d 7 N o z U 6 O H g 0 l Z h A y U H b D t M S c + 8 v o v v V 1 v M V z a j I 9 X n F 8 7 c L K J s C c o 9 V R u 3 2 l j E S r C B V N C B e t M A u 5 o 1 X / A Q P i 5 6 Q 8 E R a s 9 i M k L s i 9 k 9 Y L t g z j 7 / 8 4 Y / x n / 8 X / 5 l i g v V 5 Z S Q c v p r R q t 9 4 P T 6 7 r t n 4 n t t 2 c u 0 Y 5 9 f I N N z N n f f g A k W P 2 4 O 6 M H m q N I 2 w a w / u 3 7 + H r q 7 u l Q V 8 P I 5 C b y f Q G F d L Y N W h F 3 Q h o i X N H 6 q K K v S 6 A 6 g 2 C m i z D q n v W i E r l o m p b o P D 2 j o 1 i J P P D G S x f 1 j f X b 8 v p 0 h C J 3 a + w l d H 4 m o K g a O r D J k q G p W r Q r B f W t H U N 8 p Q z w 0 W x H 6 u o Z A v q r 1 i O d i 6 d N s u K r U S L K Y H n U Y + I M G H 5 H V p 3 u 1 2 P Q 6 z K 1 g k x R l 2 r B V I y + D A 0 c x o X j V K Y c y o O 3 + b m E o h F 5 9 B b 3 8 P Z i Y j 8 A d c 6 O r v V I R p H b u P u X / y H 6 L n w 6 v S x q J q N 8 9 h O 9 P 3 s 6 r c 8 E a D R e T K C Z V p b j T Q 1 9 T K f J G J C D I R o a 8 J I / L 5 H J x O 1 8 o 1 q e E 4 3 z Y 5 M Y G B w U F 1 D M P g q s i k n M 9 r 8 V g G G m g 2 s h m a x t s Z O A a l E t O h 4 m o e j d C S n Q 3 i U 7 E G i K Y F d S 3 V 7 N j v F G w v l 9 t z 7 o y + O F F Y E m H d z v a 3 7 s f N w L q N L 4 v P X I y V V q K p R L 5 i h L O p N k c r f G M M 9 e I Q k 2 C 1 j i Y B c T E a Z 8 Z 1 E 2 G 7 m E 3 m 0 e N f a 0 f z m t F Y D D 4 h F F 2 a V o o V N I y N l Z D s b j q 2 I v Z 3 9 E o C 7 l 4 n P E 3 R w E K k i G w k h 2 w 8 B 2 P d i L L b B F v B g M V q G Z l g L 6 o W K 4 7 1 x U X i e 1 A r y A B w Q 2 0 x 1 5 j O 5 P H 5 x a d o Y P S d G f S c 7 l D E L I p q Z U 1 T I p G S 5 y m v k b R s P 4 k m U 1 5 C o Z Z C a c k G q 3 Q m + 9 B p c 8 I t 2 o + / l 8 u s G b H q O 7 F f e A 3 2 C f u c x 1 B A c D N r 3 R z b S O B Q y 6 y N 1 O 0 c v D / R f I 9 E n t H Z L A q V K P J l k / i V J T g c d X S 4 9 i 4 f s T O Q M S l A m B j L v Y L 1 m h N z H 4 q l 8 f L W l k Y r c O p A T U k K E j e S K y X d C p X V 6 k k b 4 W t l q M f C Y n r I 4 I Y 9 9 B 2 W v x T o U p C V d f R F a T s B a W G Z / h Q 4 c L T Z S T S 6 Z N Y J S D d 9 H g X K m Q q s H i F k a T + v z 5 d O v B P R g p i k b X i 6 P w e X Y 1 W q s Z 4 2 X w a b F u Z n V V Z G N Q v 5 M h L X 0 + g + 2 a 6 C I / q 1 l q 7 F Y O g S 5 9 t m h 4 1 z Y 0 L U 9 K 3 4 O 6 N n R m F O h 9 W t N I p m F m o + F q 9 N 5 m k W H P y d / q S u u X S w / X o 7 H l X f b A U S a a F s g M s m 2 q + W R b Y W U U x d L B l E 0 N T g s 3 W L X 7 m 9 K Q x K I P Y H G Z 7 l x n 7 1 z j s 4 / e p p E U o G + H 0 B l H I l l E W g e o L b v d 7 G K G W q s I m P 2 8 x k m + H h R N A W G P a V 0 B O g L b 3 8 x T I 4 + C w F p u 9 n t B O w c G F z l I X X I j i 5 S W 3 E n D C C R B Z b e n R J j w S Z i e A 9 S d y 6 5 o t m G / A Z C 3 h h K A 8 H 1 b A g X 0 s g J 1 K Y y 6 x L o u k a y 3 V I C u I 3 c o G c 0 2 X D j L O M x V t y X F K r Q s R + M t R E Y w u h p O I J Z X I x e 4 L 3 4 L 0 Y Q X P Z R A s v Z x V o y a J a G 7 T z 1 3 Y 0 C W 4 9 M x F s v 9 3 h X B F C 3 w S 4 M z u Z i U x O Z i J o 7 p G Z C j l 5 3 t K c + m 4 z s K 0 U B v T P M u m s E q Q M C m V z W v I z z W A G U r 7 4 2 S V 8 d u m z l b r v D w M y E 1 c x k 5 n y o q G 2 w i N h K J P c j S 8 d D I e / u q + E P M Q p l g 5 o B Z p n O j P Q X t f N g 6 1 Q F I Z q r m r U T B C 8 X v N s u T / o B x M 6 e W 0 O x K M E J b w i d L l X Z 8 C G N r k v P 2 v t E Y a r J Z G t J N S z l W 1 F j N 0 a V U s U 6 J i X 5 C / R 3 u Z H x 6 E 2 R D 7 P Y e L t R c y d W U S p L H 0 i A 9 c 3 0 K + Y h M / S / G r F I L s B i V k P 2 D R j u + O w E 2 S E m f T 8 T D I 5 K 9 x S s 3 J i m N u u O l y r m n 4 j s F 3 0 i / W X z W 5 D P p d H N S / C S Y Q p + 5 n 1 1 s f v j + O x 0 w c w 0 N + v r k 8 G o 7 n 9 M I h d S 2 I 6 a R b / a V W Q b 4 R H M g 9 V n n g P l 8 / 9 F I b 8 P P q D R h z r N + O r r 6 7 i 5 7 / 4 h T J n u C P e 6 O g 4 v r p 6 V T r P g 0 8 + + Q z 7 9 o 2 s S F Q S I T t 0 q 0 4 l u H k a e Z f M w / P K x T L i C U 2 a N w c h + D v N I t 6 f y x L 4 P Y / X z + P f 7 d y v G T q x k S h K c l 8 O Z L Z i V l M A v F Z B n p N + j F w a T l M A y U h W B I d f t c 3 b 7 s P 1 9 + d g j A s R x c R c E f M k F L S j W m l g z O x F 9 x E P A n t c c H c 7 c X l B T L p b U T m u r O r z b V Q z Y r f g 8 3 N t F R m K / c B h 4 F j w + S K R R f F p u A n 2 o 7 n n b N K I 9 u X q v z r Y f z a j G 5 l S B q m I a H W V F S 9 a 0 + h T b V s / P m z X / N y c 8 p V Y 9 J J L 6 5 n 7 R z + y I f I l G G x T / u m e k W F 4 C 3 6 0 7 9 H W f r 3 5 5 j u Y G J 9 Q y + S 5 z m u 3 U H X X p S 3 O F t u r r s d D M 5 T d a o D H n M e B 4 6 d g K C e w 7 8 B h f H L + Q 4 w J A / X 2 9 m L v 3 h G c O X N W O d / c A J m m H h n g 8 K G D q s P 0 T q O E 4 X s O r M 5 o 6 8 F c K c f y Q 1 H j l M R 8 q s p 1 u f c r m a m Z C P R r q 5 c Q J E P 0 H B g O V k o c f 4 e q R b c 9 o u H g 8 n 6 s S M t l 2 V z a w N W k x Y o w 8 1 I E X 1 6 + i t 6 e b s z N z m E p l s D k 1 A x 6 u 3 v w 1 b V b 2 L / v A I y T l 3 D 5 8 y x O / s 4 + u H o c K F i F 0 c J a 3 t 3 S p 1 E c O u k V c 8 g A s 7 S T r 1 4 x k / M + O 3 x 9 D q Q T d e R u J u W 8 t Y G Y 3 Y L P w T 4 w G R k Q M o D 7 9 9 I V 4 z M S j A g q w c E h k K + 2 2 0 e t w C v W 6 q 0 c + Q Z u R p I Y m w u L z + s U X z E D F q 1 K 5 Z e E T p i 3 W U U m l V N N 0 O 9 P E 5 s b u h F s K m m E U x U c d 5 r C f K U u 5 t A h P i n B 7 7 l 7 B 6 O c I W E o B m Z 2 G v 7 X w Z J j y b s Z e M J b r 9 5 + 6 K A E a Z 8 P S C H K 9 M F D v a O w i P S 1 G V 2 w g J L O p G x b n U n U z Z Y H T 4 c u + e f n F 8 U k 4 h b 9 D w Y S W B W 2 2 a z k P B C v w + u u P 3 Y j 6 G Y f i Y c F U G i m b e d c t o 8 v H n v + k w t 4 6 Y V n h S i l v Y s R e T 4 o g d H R E V b m R U S + Y 5 i Y N Q 5 Y J v o f / 9 m f o Z o t w 9 C U t 8 t 2 c H B J L A s f L 6 H z + Q d 9 S d 6 P x 7 E v L s 0 5 0 T s 2 g + 6 X 1 + 4 E v x 3 U 6 u K / C V H r 4 D U 1 Y q Q 5 q U X 7 2 B + c F G W m g Z 5 g z M l S Z h + 0 6 p 9 k a V a o r A a v q U e N 7 3 p w 5 8 B e X 1 X o g J O 6 D 5 L X b H o K N 2 b E 7 F u m i 2 M D N 6 U / t e O 4 P q 7 d O S D P v 2 q i s 3 3 U T i a 5 o M U o P q X Q A f t P 9 x + J x P 0 U / M N e 9 Z s O 5 m 6 e O 3 c e L 7 z w / K 4 q z u p g 0 + b e X 0 D v d 7 Q k 7 M 2 w e / G z D J 0 3 G H n j n k s + a w B + S 4 8 q 4 c W 1 / 2 Q m g p 2 i p K B + Q h M 4 a H x 1 d X W o d K F W y J T W D h y 7 j b a 0 3 q H b A Q d A 9 0 H o 2 G 9 1 r m r v M p h k S b x y 6 g X 8 6 N / 9 B G + + / Q 4 6 w y G R f i H V 9 r 0 j I z h 1 6 p T a p 3 a v m L N / 8 s d / C L f T j c R o f I W Z d I Z m G / T + a F R W z S H z / F 2 Y a q s F a 9 g + v p 7 q L y N 5 o B v T 7 8 w v / 9 I a v L 7 O / E S h m k G s O I l k O i b S P 6 o R p d x b 7 2 / 2 o v 6 Z w o X M p H e J z b q x o C E z U r N x V x M d J L r b C 9 o 5 + 8 M V F Y B o x U z J y j R u z A 7 D U N P 2 / X X Z x I c y e R F 2 D s F m s Q k z c W 5 M E 5 L 6 i 8 x D k 8 3 r 9 i j L g p + T i e R K f 9 a k D + 0 + 2 x p m I q i J 9 + 7 b + 2 C V 2 x 0 i V z L A u U H C 7 H o 8 8 r A 5 y y j v F r p U J q F p k 4 q r H V S p N Z T m 0 8 F j W f f B Y e d u 3 5 s z x n r w X P p V 3 C l 8 P T R C 0 4 h T Z y i V V S 2 i R 8 8 w 0 M / l f X U G 5 f y K 1 y Y m p d h P F A p L E f F R s h 5 4 9 7 n V Z K q w p 7 z E E S + V 1 Q C z B k R 7 s B 1 L 5 + P o O a 1 t y E z h I y w m h M B U I e 2 l X 5 + P W K h a E D 2 / g P B R 3 0 q p L x 1 8 p l Q y B Z f H p Q I m g Y A m k Z f E J O V j t I d F 2 4 i Z p z H p 5 n K U 1 2 I S K 2 v + 6 f 3 R j G I 9 p S a X W W + e g p S B I o c w D 7 V 1 K / B 6 R K m W Q 7 I c x c 3 R N j R s I Q y E R J t 7 t U l l 1 M T p t 7 X O h F g P N f Y M T A i N s H 8 W L 0 T R 0 W I j t c m l G 0 j N 1 d E e C i I g G o q 0 s l t E M w a 0 e 7 Z m l Y f W U M 3 Q 0 z J 2 C w 4 2 J + r Y S b r 0 0 W G m v S 8 S R w 2 2 v L g A j 4 7 o T p l J B 8 0 d + l X N I L P o 1 + e C Q 7 a B F X n o B P N e B B n F a t d s a Z 3 Y e R 7 X z P C v k K s m W a d s C B x k o R H p F 5 9 P B t O p M h S C I X G Q A / 6 V Z f a 5 c E Z J U o J F J X m / / + V f / i v M z m l 7 N B H n z n 2 q m M L r M C L f m 0 X O 6 c S 5 W y b M X V g 7 L c D M b b P J r J g p t h h V u X 9 c E M j n M R m 0 p e V b M R P B P i U z L Y o J z l Q l n t 8 M i 8 G H S N q K S M 6 o T H 2 X + L U a M z W w V L y v X k y t 0 u t S L M 4 v K C E T i c 3 I 8 T U M B u d x t P 8 m 2 r 1 J Y U S P q q t Y N O x s i k P 3 h + b F Z G 7 F T I T b 5 8 D g U J / y z x l s y Y s J v l u U G + L v b q P 2 x C P N N h 8 K V t X O e L u F L v H 5 l 0 T G v z r D W C Y u I u / q x N L i v J q Q Z N i 0 l f T c C h x g + j p W O Z + b W / M a 1 A 7 6 / c h E / C x 8 o f 7 y G K U 9 l l 8 0 i 8 j 0 W T G f K C E 5 r 1 I p V + G 2 1 B A v i F / S K I G p / I 5 2 u 6 o b q K 4 l 4 F 9 u j 8 n 0 m E q Z C x 2 F m B x O u E U q 1 + U f z R W 2 I S n a x W 5 3 i F b L 4 N P P L u A X v 3 x T / W a 1 O f D z X / x S 5 d m 9 9 c Z P M D d 6 A Y 5 u N 3 7 5 x h t 4 / P g J / O v / / f / C x M Q k D h 9 6 T P r Q C L u Y R h V z B v l G T B j N D o d F q y K 0 H b C t P J Y L L y k g a C q S g N N F E + w q I F e X d j d U V V o d 7 A f 6 P Z w q 4 J o p V v H l n l G m u k s J E A o w r z O o h J j R y n x C G 1 y W o J q T s r J 0 m P h 6 9 m 1 O 7 L K f K L z K 0 T L 8 e 3 0 b b 5 8 q p O i w u d S c G / c j 5 j m a W b u 9 f m h G v S E W S L s F q f u Z T b P X t x Z X O 0 C P t 7 X / s 1 3 w Q U n g S t L L e 5 0 Y i c r g E 2 p l p C 6 1 d 8 N M B M 9 n m F V Z Y E 3 g 9 f j S Q + / 6 i + 1 Y P w B k O k p + n f k 5 o C p T 2 y l + g z D Z 3 L U F V S 9 Q B 4 m N c 1 A W e u k C T t Y y 4 t m o i G n r t c J i s y h G 5 3 P T 7 x r Z s w d n P v h A V c 9 l d C s U C u O D M x / g H / / H / 0 i O q + D w 4 c M 4 c u i Q a E 0 T / v E / / D N 8 d u F z p f G O n z i x 3 C Z t / s p v 7 0 K 7 Y 1 D + d q 8 8 A 5 f a b w c 8 n o z J N l X r Z k x M T s E t j M B 2 F k X i 6 3 O H z Z b E Q v a + n C d 9 b B b B I w z c 5 d s H l 8 u h 2 k T t y D a 1 u b s Q c g 3 B Z Q 6 o L V q 5 l a t F f G 2 f b W u H v x m s T J U Q o V Q 3 a K Z x K z j l H p V 6 W S V g V 4 1 5 n J E + 1 M z v n Y N 1 R c w u 6 d M D X k Q v r c 1 q b 8 a j 8 a G k 0 8 2 i y l / e u 9 Y 0 a A a L y p A 9 l m m q J d g x H M A f / + Q X K t r 3 y q m X F F O V q m J S i f / g t Z Y R j 0 Z w / u P P 8 A d / 6 / f V 4 B H 6 a k 6 H K a D m f z a D t o x B C C u b 0 0 w k G W T W N r C a 3 H B t c S 4 J i N q J 0 p r t 0 h m e 1 0 y l 0 r D B j s m r U x h 5 f g T j c R v 2 h b U s E U p U v l j g h I z I e / I 5 c 9 N 5 u P t X s 7 r 5 4 v w K H X x G N A v F s k j W n A o J k y A 5 n + d 2 2 U W a 0 8 8 S n 1 I I d 3 y u i q B I X 2 u 3 V Y W b a 9 k K a k k x w c z C E H Y T L E 6 a z w 3 E r y a Q H W x H 1 m S H f S q O A 0 + 5 5 J i 1 8 j Q 1 k 0 F h v g i r z 6 L V j 5 e f x 2 Y W M d Q b F v / O K H 5 s B Y t z i + j t 6 1 X H c 2 K V W o z I V q J q w w C L S 7 S 6 q D G r 0 Y G G S Q t a 2 I V x X C Y t a Z X 9 w H E m w 7 I f d o v Z s 4 v o e F 6 7 J v 0 p 7 v u 7 k T n L I j B c J T x + b w Z 7 e 4 + u J N B u F 5 d n z D j e u 5 a 2 F z + L I n w y + I B 2 f C Q m H 5 3 o Y f s 9 N f D K w V w H q s v b i 2 Z 0 i Q O 6 G d j Z s 7 N z a q 7 n 0 q X L e P a 5 Z z E j n 0 s i y W 9 e u a A 6 7 t 3 3 z 2 j f C R E x W z p Z G Y f L G F R R R X u L o v b N y F X E B h b G 5 H 3 I D G Q M D i w l J Q l g K 2 j E w K U R G k P o D M X 3 D F T E b y Y x / P y g f A + E P N R s m i J k 4 U b O 1 j M s r Z / D v 5 E v 4 y t L 8 J W m k x e v x b P M 4 1 / C m p w B 2 v u V 7 U + z j 0 z G Y / i 7 u r Y c 6 x W 6 N 7 m N q k x W V j S B v 8 2 q K i D d z j n R 1 y 0 + j k 0 0 g 0 O 0 V p d H x s e A w b Y 6 Q n 0 2 3 L o u 5 p J L r i O M R w L P T u c w G i v B 2 W / F 4 m g O Z X t N m U e h g F v 6 i c 8 r b R a C Z Q F K M g L n s B h c i S 7 F l H Y 2 W w 0 i N P N i a m q B G 5 p w a r s h e X Z l A o u v x L a X C y I U b 6 a Q u Z 8 j Y c A W 2 F 7 0 r B n 5 x Q L a D q 7 W z + A 4 6 p Z L K 7 C Q a q m R U v e / 8 s U t t I d C K t B k E W t E 6 8 / N Q b r N M u e w i f + Z M M 2 M d g 4 w + 1 j H I 9 F Q Q W c F / e 1 j 8 J o 0 0 2 K 3 k o c D S 5 V s s 3 F n C D E V V L p / A 5 F E D E F v Q A U K 5 u f n 0 N H Z p W x x j 9 u p t B M 3 r W a o f i M w 8 h Y r j Y m t 7 o Z T m I 9 t 5 G u z Q W g F D h 5 N M D 4 f B 1 F / T k U 0 8 l o 4 u 4 T e V x / c Z T F b N I h / I N J 9 Y V E R Y i g c R m F W 2 j + w l c + g M Q / v y + d l m 2 m + E B r j a c j n c s p n I s E T e r t K I l Q v z 4 h m t x t E W 5 b F i l B f K 3 w 8 Y U P Y X o R J f L V o p I S R x / 3 q u G J V N O G N u K o O p f f T R u A z s x 2 V e g n R z B Q 8 z h B 8 9 i C i p V F p 8 6 o Z V p G G d P v 2 I 3 I h h r a j f h h t m j n P / m c B F d + I a O B 1 2 n I z x E e T a N u j Z T 6 w b 0 g 3 N N U 3 a y v B g M + 9 6 W u 4 c u E m 7 F Y 3 T p 9 + e d v z U 7 M p E 3 p a 7 V F M 7 X 8 r i e D y 9 k O P R E M 9 O y g S S g y e y c l p l b X A z p q e n Z e 7 c f 8 h L S J W F k e V k i 4 a j W O j 6 p 4 c o G x W 2 6 y Y 9 j v F Y q o 0 i 0 K t K F e 3 i V T R c r g s w m g O + V u u F 2 U w c w h Y + 5 e v 0 B q J y q T q 9 F y 8 L i Y j C 7 W s L T e 8 X b B 9 Z C g V E F H n a 0 T A 6 y g C s Y k P 1 m J / 3 F r D o E x d p v r w x V 0 9 q o k a f v r e G z h 6 R N u E u U H i l X / 6 s n E V p 5 f n 5 2 9 6 x j g F D e O I l y 5 f k X 7 2 4 f r N u + j s C C l J y + f j s c 3 C j D T a 6 x e N 5 J b f 1 j 1 q v 1 / 8 Q N F C v o A F / m B D m E E P 8 o j U T 5 V U c d C t + k d / b o b 7 P c J I D o t m v n I b T 7 c 1 q H a n V 8 I m Z U Z l w o D g i Y A y R b n K g N Y M f U u u O S s l y 0 j c T C M z m l X J x A Y Z e 8 V g 6 2 7 P Z 5 x 9 f x G d T 4 Y U I / N 8 4 u L N O d x K h D D U z s C S M F x e 6 K N F 3 h 0 j o A 6 3 D c F u F w a 6 R k R I i U Z e 9 v G 2 A o N t G R G M 6 3 c z o e X A Z 5 j 9 M A L v o G t j D e W q L a J k 7 Y T X X E K 8 t J p y 4 R T V b p V O s R h K W M q J L y E P 8 P y g q O 9 G F d w U z C t E f m c p i 6 7 O M C J L U S z J i 4 S R S K Y U M T I b v L + v D 8 e O H s G P X 3 8 d / + l / 8 o 9 V 5 x C U N v N z 8 2 o 3 C e b J 6 Y i l 8 q j A g U 7 f 8 g D K a y d I i o / E 6 k p V 0 d C 8 r t 6 B X O h G p 3 g n 0 L U F r 7 O + H b V 8 D S b x W d Z D + E d N c p I g u P 0 L 9 2 b 6 q 5 + 8 g W P H j + K 9 9 9 9 X + W l P P P G E C K Q p P P X U S X U c z V 4 K F W a E d 4 R D K q O 6 U M z j 3 E f n V C Y G u 2 x 8 f B x / 9 q f / Q B 3 P P i T x k i m 2 2 z 8 8 j + e Q M Z o Z c S Z h g n M 6 h s B h n y I Y g t f P i s + X m 8 n D J e Y O / 3 Y + F 0 I + U k B y L C l s K O d 0 O N R W p l y U l y 3 H k V 1 M o T g q P t X x k q h R b g 0 q 7 Z L r c E 6 I 9 2 U 7 e d / 1 j K u m L M p 1 F U A p x 8 u o i z C m 2 d g Q o m 4 U G w i d b F P p Z A x M 2 M o O u U 9 W z Y v Z h B k r u a r S / B f L b X h p p P V m 5 I z y / v W b b + N v / O B 7 S k N t J T i a k R a m a h X J v h 8 1 o 3 w 3 s X G U b + z a W f j N G V R S o x g 9 / 3 + K 3 f t z z H 7 5 I 8 x c / i s 4 S h M I + Z 2 Y + v z P c b r 6 A e I 5 c Y 6 X F p U 5 U v M E M T Q 4 g B / + 6 N + J N o q q a j S j Y 2 J u i Q H a 3 d W F H / z g B z j 1 8 k v y 3 a h I B y 0 5 U w c J v a u 7 a 4 W Z p i a m k M 5 k 4 L I Z 4 T Y t p + j v k J k I n 6 V X 3 Y d b w T S f v / 1 u 1 K D M C / E X 9 W p A z W A d 8 V b M x H M a o m H T G U 2 Y U J v w 3 E b d h H 1 7 9 y g / 5 Y V n n 8 Z b b 7 2 N 5 5 5 9 C j / 6 0 V + K r 2 R U m q e v t w f B 9 j Z w n y y H 0 4 r 9 + / a r o M j + f f t U c O K Z Z 5 5 e Y S a C T M j 2 0 Q x O l K f U d 5 u B 5 z X 3 v w 7 m E t I 0 u / p p T n y z F K b e n B P u A z z 9 L s V E + l / 6 D 9 Y 2 8 Z l 6 a 8 g E U 3 D 0 O Y S Z R P j K N e 0 G L 9 q 7 + m A / K c w k 3 c L J V Q Y D W F K a B D w 1 P a 3 + a u 1 f 6 1 u T i c 1 2 E 3 z i X 4 a e b E P H s y E V N e 0 e / 5 f o e C Y E Q 8 2 A 2 X c X U b 0 F + P u 8 6 H 2 y G z 1 P t 6 s N E b p e D K v C O 4 9 b l z Y d 3 5 q M y 8 1 r 1 0 R g 7 W x u i s z 0 Y I 8 B I + 1 V P P a c + I m t N J T P Y c D 8 1 T f g b Q v h + t X L O P r 4 S U y N 3 U F X T y / y 2 Q x C H Z 2 4 e v U r s Y 1 L + N 2 / 8 w 9 w N 2 L E 3 q 4 0 B v y s e L M N M l X m z O Y B C p 1 Q + F f X K I m C R Z z 9 V o + z O Q q V j A y C 5 r h S S r b K P 9 s K l K h k D g Z G W t X B Y P K k f 9 9 q U E R v f y a T F h N W q x U 3 m b B g K K i Z Z v N n I 6 p g 5 c O C b W L O G k 0 o X d q n 6 l N C w 1 b 4 r V o 0 b i M w w M L A A S 0 L L T N F h m b Z j N V R q d S x d C G O 8 B M B F d x o B p + R y 2 N 0 L c a + o S 9 D z M 3 N o o g k r O K w 2 1 w W e N C z o t X 1 c a W / z P M Z b d U D R C v m l 7 z n V X W G n / l g A Z 4 T Y o Z K 8 1 x O j c 5 4 D f 7 l M 9 A E b x Z y 1 a y Y B R Z h z B Y 7 z v G a 3 G n k z P s f 4 p X T p 5 Q L s F 5 A b g Z W h e K u i K 2 w Z V C C f d U b N C O T L y E h t q n H J g S 6 + B X q g W N q M B 8 L L G I q H 8 L x v r z Y r d t P 7 b D K A 1 T k w f Q O W w + 9 0 / V B Y k d P x s U x D N R V O a 6 d g m 2 N i I n Q 0 b m 9 j Y 7 X g + 2 h d m D H 0 8 9 Z z 5 R L X 8 b U L h c 6 2 G 6 e w 3 v p h H I n Y s L + s O b Y p s e z 8 A 7 t f k U p G Z w a j / d g 5 I 0 T 0 L z P d s H I r J 6 Q S s K u O b i R d w B V 5 O A y d q h M C R 2 5 k h G R l P h z d 5 b Q f c K 3 s g k B + 3 Q p N y Y W h G h R 8 a E Y O d O / J 4 P Q p L Y K K 7 E O n 8 V k X 8 4 2 W W 0 j 2 8 D h 5 z P o 4 6 w L q v / 5 f / 3 f 1 G q C P / z D v 4 2 B g X 4 x 0 x J w y D U q h g p y 4 m f 7 x U z m R D b z P 3 l c K N S + R s g x y h i 5 t 4 D O v b 0 r D L 8 e N P 3 O n / 8 E L 7 z w n P L 9 u e f w d s F 6 n 9 z 9 p d 2 p + W 0 6 t g x K s M t T + T q K F e 1 m 5 M 6 6 v X N Z 7 T X w W E 8 D o 3 E X R k J c 1 f g g o V J B a r J m H d 7 7 1 6 I n n 5 L O b K 2 p y E w E Z + n p e 7 H s s q W R Q y G f U x O L H I D 1 + X 4 c m I 2 I i g T o E A n Z b L N z 4 H m f 7 T A Y z + H 1 G c L m 0 o 3 1 E i 0 z m l O F M w l e d 3 Z m Z i X 4 o R / r F 3 N B P y 1 + L f n A X s H b B R m A F Z 2 4 o O 7 z z 7 / A / v 2 c Q N 3 4 W n x G P j / b r 0 G b x 2 I R F Q o J a j e P M I X V J B q g b h R / b 2 3 Q i P 5 f 3 T I m p p Q I 1 p I P N p b P N j T U M p y g t w s G E 2 s O 8 h w K S M 1 0 Z z + 7 L G 2 i J B y Y m 5 m T v l h b G Y q g N m T f s G 1 E 8 9 h c v 3 F L U c 2 N G z d U y t a 7 v 3 o X 1 2 5 d V / m b n K B 9 5 Z V X l P 9 z Q 4 5 j g c 2 u T k Z X V 6 c y V K C k 3 Y f E t Z T y 6 V o x l Z o W E P + U d d H 7 B / p U 0 G e 7 o D v I l C t x 7 V Q 7 d b J 7 q L B 5 k H W 5 / U V x y B p 4 d q A 1 U S Y r Q l j i w x B 6 Z 6 m B 5 f u V A R a C l 2 a J M b D 8 S S P K c Z F A n L 9 h k c p w K K w q J Z G 5 7 t 6 9 j 6 N H j 8 j A r T q 1 + j I E f f c M M h t f h K 7 p N O 2 i p d X w + t F Y F N m 0 m L D h s D I 7 7 F t 0 K M / J C U O 7 n N q E c D O S d 9 O q Y h H B 4 z J y X W q O Z m Y t i w D n j i I D b T X M f y g m 3 w 6 W Y 2 h C R f M j 5 + d n 8 d V X t 0 Q q t 2 F s f A J / 9 E d / W 2 1 D 0 w r s E z 4 / p X i 5 S q G n m V x c i s 9 1 Q q 2 0 7 X o I O y F e n l C V W y k A p 9 5 f h O u 4 R W 1 s p v e p D l 5 b H 2 d d K J J h + N 3 6 P i N 4 D A M v N A e b f z e q S k u a M C 6 V t A x 8 R o m Z z 0 k f k 9 f U + 7 Z Y L M t 7 b b k G h d j 6 + z C 0 v X B h C e 1 H A 7 C 4 1 0 Z h u T 7 v l 2 + 8 K b 7 9 a 7 t e 4 s E N A 7 h T i 1 G E z E O F z Z 8 e K K F u n F N z L F 7 b g w v g 8 t U k / u 9 / 9 V f 4 5 N P P 0 N v T Q / k h H F 3 H t E i s N 3 7 5 l g x E H d l 8 F t l M D n / x b 3 + E 4 T 1 7 1 I C Q g d j J D H N y k + a R v S M q X Y g F W L w + n z i 4 7 b h 1 + 6 7 6 j r P z t + 7 c U S q f Y f U P z p z F / f u j q r P J c H p E L p v L q n Q Z E i V n + P n 3 3 X f e x 7 F j R 9 X O d 0 N D g 0 p i E T w n n U u i W N C O 5 4 v h f J 0 p a Z o 0 E 5 H a N 8 k g R F s v o Z j X V g c z A E I i 0 l 8 E p Z r f o U k 1 7 v a Q u J G C r U 2 O 2 8 A k I U g 4 t P e p S f 5 a + i w h p k / A H 8 T j x 4 + o T b 5 H 9 g y j w G p H Y k 7 R z F o P 3 p v X o E Z j 3 W + 2 n S + X 9 I n u T + Z r c W S r E Z g b r L z 6 I N G T q A u 1 h M o y Z z Y K 2 3 7 / b g o B E V h W Z f 6 t t l 9 / V p p z G f G 3 e S 6 Z p l l T N 4 P f 8 T d G 7 J q X 5 J N x S Q v 8 G / 9 K f E S 1 w J L M q p 1 D u t B M R p r V m p D g v d n 3 O g P r b W H / G j v c 4 s 8 Z k L y V Q k r 8 X b P H r L a S 5 R z e z Z u 3 c O D A v p X x 3 y n s F q 6 E 0 K Y p H k p D c a k G y + R q 6 r 4 1 / s X / 9 C / x p / / w P 8 L r P / k r 1 e D r 1 2 9 g Z G R E t M x d / P N / / t + o j Y Y v X r q s k j p / 9 d 7 7 O P T Y A X j F B G F Z K K 7 R e f n l F 9 U S 5 v U g k f N 6 R Z F e 3 A + J 7 6 k Z S P h k S L o H T E B d S s a w b 2 g E H 3 7 w k a b t R E o z W Z K D 8 P 3 v v 6 a I 8 K / f f A f f / 9 5 3 4 A t 4 E E t E s b A 4 i y 8 v X Y N T b P 8 9 j 3 W L 5 L F g S k y 4 / s 5 h D P T 1 q b A v i Y D b b r K K a y a W Q a a Y x V f X r + D k k 0 8 p 4 a E T N w d Y H 9 h W W P h k S Y u Y b Q D u B f v O 2 7 8 S W j L g 9 K s v q 4 A I s 1 H 0 l B 8 y 2 / V r N / D Y o Y M b S l j 2 C 4 9 j e F 6 X 6 q 3 A j b G z 9 c U N a + T V G y x L J j 6 h / O M 1 J 6 9 l M H h 0 r R b W Q S b i Y k u a V A T 7 Y K N 7 k w H 4 4 p h S + D U f J 3 y C 1 F g K / j 2 r B S c p Q C Y W p z H Y 0 Y P L t y 5 h P h X F 6 W O v 4 N 2 L 7 + J 7 T 7 2 G 8 z c / w f d O v L p G U 9 H n W Z / 2 x u y S v C W L d 8 + / j 7 / 5 N 3 9 X a V z K B m 4 u U M l X k Z 8 v o r B Y Q K 1 Q U 8 9 s s B t h c X C J j V z L a V b 7 j R l t a 4 X E r h m q z V n D i d 7 V B W a t I R 0 v j i p D 5 p V q T W z u p D K Z / F 6 / d G B V K X Q u U + j t 7 l R a x S 6 m 1 G B / j 5 L G q k 6 E O N q U w u t V + F b g Y M e i M Z V 0 m k 5 l x R S I Y X C Q K U F r H 5 5 V U 6 m 5 z p 7 9 C M 8 / / 5 w i y F g 8 i n / 3 l 3 + F P / i j 3 0 H D V E T Y q x W D T G e S Q t w Z f H H h S z z x x H F F n D f F f m e E q T 0 f R u d T 7 Y q I a H b Q P 6 E W 0 C a o t V H U 0 3 Z a S W m m 0 n A O Z z 1 0 7 f T G L / 4 a v y 8 D z s V 1 r c x S 1 o e g X 9 X f 3 9 9 S S 7 E / q J 1 1 E 3 j j / m w g V 0 m J 7 7 N x / Q U 6 + 6 x 8 S 4 2 Q K 1 R h z F X g D K 1 a J / x e 1 x A a k + R F C G i T x H q h y 1 a g t u E q b P Y T + 0 z v J + 4 6 y a K j z V o 8 V W w g E p s W 4 m 7 D Z 1 f e V r U J X 3 7 i Z S X g C t U i L t z 8 H H / 8 0 h 9 s i 2 7 Y x o k r U 0 i k Y t g j g t 7 p d c L I 6 C A j m p s I Q o L z Z a V Y W e V k s l Q c m D + 5 W 5 O v x 1 d f q W S z G T g B R 4 6 l r e 4 S g q g L 0 b G 8 0 z v i Z N I Z 7 u o M 4 c O z 5 3 D 8 + F F 5 3 6 H U P o m R 6 2 e 4 r F x d o w U R b g a a C T Q t y T D c I Y I 7 8 X G X B k r 3 5 h c H i c R W y B X U P R h A O f f R x z h 0 f A g W + o f B / e p 7 v r i e y S 7 t Y p 0 C n r u w s I j h 4 S H 0 9 v b A Z X D B 3 + d T E v b y p a + w f / 9 e V U u P C b h M m h 0 V Y X H p y h X 0 9 / U + Y F Z Q 4 M R v J O H p 0 y J + Z S E I 3 e w i c 5 K Z f u / 3 f w c e r 0 c J m F Y g s 0 x N c g f 0 r u V 0 r b U g 0 a x G K P k i o b Q i F g O s J v F T y y k V l W s F P f C k a d 0 G Y l + l 4 O 5 d T U y l U G F 7 y B Q k a P 7 l s Z z v 4 W f e v x W U D y y 2 c C a X X l k y Q 8 K p 5 i u q 7 n w z s i U T 7 s T C i O e d c H m P o q 9 r H / r 8 J n i c b g R c X j z W f 1 D l e u o C Z D M o R h f z b 2 x 2 A h 3 9 Y b j 9 Y n Y y J r 4 F M x H q X J c Z z i 6 H m u z m z v o 7 o 9 Q m l K t b 3 7 A Z q t 5 C J I I P P j i r f K H f / 7 3 f E d O I e x 8 Z c f q V l 5 Q z S U L V w X o G J M b d g G a C k h g C m h B M F d o I Z O C R / S K Z h N l Z j e m l l 1 5 A V 3 8 Q H p 9 T J O b a p Q 6 M E l K L 8 T W 8 Z 0 j 9 N e V M a r M B d i 6 X Z Z w 6 J S Z q K K S W U 7 A U 2 O D Q A E 6 I R v P K M 1 N 6 0 z / T Q W a O p n I Y M 8 d x 5 + 1 R V Y e i Y a i o i d m y m N I E t R q 1 D l c L b 4 b p m V m l b S k U 1 o M M p B O 5 h o 3 H T m X u N 2 m D z c D D U i I 4 q J H 5 L G R a Q r + P 5 j t p G o f Z 4 D r s k V F x E x 4 k v X K 1 r K p E 6 U y 3 c C E K d / / a q Y X / 4 S / / B e a j N / D K S A F B 0 y h u X P s X K B d u i 7 Y s I C Z W x P j C N P K V I i a j U y h S 4 6 0 8 8 8 b w i G B / / P G j Y l q / K 1 b I w 5 U c 2 7 W G 4 m L C r c o q M T r E + n S 5 b B F 3 b t 8 D d 9 g b G d m j G I r a i d K a L 3 3 C T w f f 6 1 L V Z n s w R L 0 V e C 4 n V J m J s Z 1 z H U z E N Z l V 6 J S E X z F m 1 P d u c 7 t i l P V Q z L N M 4 L F r I q H 7 N J O H 5 l i z U O C 9 e R w Z g q t 2 z 4 o m Z h 4 i t R e 1 G d O y z p 8 9 i 6 O H R v D l 2 F U k 4 j E E A y E Y y n Y s x e f x w f s f 4 / i J Y 0 o 7 U W s T X I r A 7 O l m k J F p G j M g w 7 / r t S A J n u 0 i g b N N + Y p p T e a 0 D k b y f O Z u 2 E z b C + e T U Z P S b 3 5 p D r U 9 6 z z Q 9 O T 4 6 o G c m o F J u V Y 1 l r w / z b 6 G N 6 x y F y l g d L C b K V w / v l O C j L q 4 F A 2 Y r d J / 6 6 J y M + L f X r 1 / F S P d e / D F n Y 8 w 1 D 0 o d G j G 9 Y k b K J T y u H z 3 i m i b c S z G I 0 g X x F x 0 i 6 C 2 r K b O t Y J J x i i S j m K 4 n 8 V h x G K p l e E S i 0 Q H i 8 5 c H b 0 q P l t Y i a L r 4 z f R 0 S Y a U h j Y s c 4 E 3 7 U P t Z 3 a E d n a k t i 6 c / A a e 8 R 8 S S r z a P 1 g b w Q + G E H i X Z W s 2 w M H j u f z P B L Q T h m y X M s j V 4 t u m X T L G u f p 0 S w 6 n m 2 9 B L s Z 3 O m C N v f b b / 1 K a U z 6 l N / 9 z i v q + V w u N 1 j u a v 7 D J V S H i z j / 8 S f 4 o 7 / z t 9 X y C D I 7 f a c K 6 6 b X Z 5 U G M g n B + a 1 r s + t p 4 l B D 3 b h 5 G 0 e O P K Y 5 2 E 1 g V g T N K t 5 P v c S s P D 9 u w 6 k 9 W r E U D S S F j b U T 8 / O 4 P 5 d u k l J w X Z u 3 Y q A e h 7 f H r e p Q N M 9 F R k v j 8 v 8 G 3 M Y Q J s c j Y s p Z R a C u 5 k 5 y U t X l 8 W L / P r E Q R I O R w T h 2 9 0 f v w z 3 n Q + 8 r D 2 b u N 8 M s j K I X D Z 2 f n x e T t 0 e Z + w T / c t y 1 j Q 6 2 I H F h 5 I + u f Y p 2 p x + 3 p m 6 J l p v A v r 4 9 i G d T e O H Y i 3 j z k 7 e Q K + b R H e y W 9 p X x z N F n c e a L 9 + C 0 u z D c P Y z e 9 l 6 M 9 G i + 9 q 4 1 1 L B o q G Y k K t N q X Z E O N f m Y K e P z j 6 6 q k D b N I 7 3 u + H b A w a q W q b K 3 z x B c R p C r R m V Q D f K y Y E 7 M I B Z R N B o 2 j 7 S t B y N Z X F u 1 P g 1 n P R Y / X k L 7 S T H 7 N s p D a Q I Z g 9 q q s 1 t M Q R E s B w 7 s V 4 E N b f 6 F J p E D t q F 2 m K I N P P H S 4 2 L 6 + F Z S c s h E y e p q b p 6 Q 3 Q M L K e m f c D + s r 6 5 c x f D Q 0 A O C i 3 1 I g m X o n 8 e y / t 9 g m z Z P t I q N + 4 j n M q K 7 f p k 6 M + c r N 8 U H H B S t J n S r C 0 C + m H H O l 8 V s R 6 l c U V G / r 6 5 e V z m H X G X M 2 7 G W o c l k E T + 3 X S W Y s t C N u W B H Y M S j 0 o Z 4 X 9 I C o Q 2 h F u z g 9 8 V K C W 9 + 9 g 5 G + k a U j 8 w F l r / 8 + E 3 s H 9 i n 0 u J 0 g d o a Z F 5 e p 6 6 m Z 2 5 P 3 p I x F x / I r P n S Z O y w P 6 y m P 9 L i 1 z 2 + 7 1 k 8 v v c g v E 4 P O o K d a P O 2 S U s M O H n o S Q R 9 L I C j 3 W d X G o q T W C 8 O r 0 q 2 T G V B L m h X i / w 4 Y F T 1 5 8 5 9 j I M H 9 6 u Q N x m p V f R p I + j a i d e i q b O d a I 2 O Z H k G 1 Y a 2 o R i l q c u 0 N i V l K 1 Q a o n U q W p 1 t t 6 l j Q / N H x l M Y K o L O F 3 a W j 8 f F e G n x D W k C t m r X + j p 9 J J 5 U d U a M 5 7 U C T M u S X 8 s A 9 J O u f H U N e 1 l B d b n U N e f z 2 I d k X F 5 r h a F 2 0 C e b g W O V y 1 Y Q v 7 i E n h c 6 l Q D U o Q s x E n Y q l Z V n 9 g h j U V N W c E 6 0 E 1 c d 3 L 9 3 D w Y h 6 K 6 j v 4 t O d w 0 z 8 1 X s d a S Q s B g x 0 K G Z X d T e N F t 1 1 4 B z R z l h y o 7 O D v z o V 3 + J 3 z v 1 + / g 3 7 / w F 7 F Y b X j r 6 E u 5 O 3 8 V r T 5 5 e o R + C 5 i m v w T a x X w j O z b E e Y U 9 v r 1 I A 7 7 z z L n 7 3 9 3 5 P h J l b 9 Z U O 3 r P 5 8 w p E 4 M 4 s z a E v 3 C 3 W x z L T 7 4 a h O I H 1 8 s i q y Z c s T 4 k J 0 q 8 c u n K p j K t X r + L E i e P K 4 d 9 O p G U 9 O E i M f t E u 5 8 B z Q L a L c q 2 A U j 2 r 9 l F i 5 z k t H n g s O 6 t X Q D A 8 b B T T h l K o F e L X u c 2 J b 4 V o t g v 1 b P Q l 5 J l a E f W c M F T 3 M k P p S / u b 0 W Y d l B a 1 l r o k F A Z / f v 6 z N 1 S Y n V K W f t X z z z + r C q V Q s P H + P I 7 3 Z t v z u Y J a E / Q w 0 A X g / f c X 4 T 9 q V E E Z V n D i P m C k A Q Y m q A 3 W P C / 7 T d p x f 2 w K + 0 Y G N W b P V J C b z O E r W 7 v 4 r 2 U x A y 0 o x K d x b N + q 0 O I z r d K D j A 6 D H n K t V C G H g E c L 9 z O b g j 1 U K W u F W d J i u n n d P k x P T a J P / K S o + K 6 B Y E B p J l 6 P g o g + 3 p d f X s R E e R p / 6 9 Q f I C g a 6 K P L H + K K + G v f f + b 7 6 G / v w 1 d j 1 4 S 7 + J 8 R V m n D k b 2 P o y R a E g 2 X C E r A 7 5 S 2 7 c b k E 0 Z f Y / K x Z g D n S 5 i 9 w B l 7 B h 5 o z j R 3 Y L 4 a V 6 Z X s Z a E 2 b D x 4 j U O D n e j 4 8 Q l J U M r o t s I q n M q O R g a J u R L a f F B p L P F I a Y / 5 D D u j P j p C 2 z E T E S 1 U H 0 g n L s d s A 3 6 V V u Z I 1 m H U x x i I Y L K P O q G 1 T 6 W n l B F 9 j c z Q 3 l t S u S h 4 U E V 8 O C U w b 7 9 e 9 V c H 0 0 c J q 8 y y s j f e G 8 G D q 5 e v Q Z W Y q L w o m X B 7 1 y f / h C W v U 8 K Y W 4 t a 3 U G z c i 5 4 b 0 + l O 5 V V B i Z 7 W R b S K z M x l D 7 Y 8 n n 9 c / c F v B p R D + e p c C H Z 8 g j Q t G I k K e O s a k I D g 0 H Y L N o w o f n k p l 0 U 4 4 v 9 i W f m 4 G H W w s m j E U N q u B m j 7 c q p i b T q r j D h 5 b z y S w b g q a 0 3 g 5 q M e a J / u T 1 n + C 1 1 7 6 L a D q G W C o q J l 0 A 8 / E F v P r k d 2 Q 8 3 J i N z a L d 3 y / P G U O o L Y y F 2 A L e / P R t Z S o + 9 9 j j u D J n R T 9 3 m n l U Q Q l K x s 8 + u 6 A m S G n O r A c l F l f O E i 5 j u 3 C 4 P N S y A 6 t L O B 3 s Y L 3 z d D B i K F / L O R s T F K 9 D P 4 I B u H Q l I t K r D r + 5 X z n R G W 4 t I 7 3 v M m 8 d Q N g K 8 2 c X 0 X V q d 5 t 5 k e n 5 f A S f j w O 9 H i z c 6 H p C f o f m / 1 m M N n l 6 0 W q G 7 T O w F i a n a W d S w o 4 T 5 z e u 3 8 T h w 4 9 h d G x c 6 y s h p l d f P S 2 m z q / w n e + c x i c f f 6 b M 9 M c f P y a m G 8 P h m o / V q o 0 E r 0 F G Y c S W 6 7 C 4 d m 1 x N o K R o T 1 w + q j 1 x G e T 8 W D / M 9 O f u 8 e z C A 3 B a / L 5 e Y 1 8 t C h W j 0 m t r b o 0 5 8 J A o I K w m H / s q x u z D T z W z d L L 2 x O s r F 4 s R p 3 c c / m L J r D f t U c x K M H C e 8 + K n 3 3 m w 7 P 4 u 3 / 8 d 1 T G y Z G j h 0 W T c y k M U 8 f o d 3 K J i A l T S T m n D O w L a 3 V F m J l + d t S O l 1 V Q R x t P / n / X D H V q T w H N l V z J U D d v 3 s a x Y 0 d a B h + Y C 8 Y 9 k 3 T 4 L X 3 C Z Z q j T M T k f N q h l C L U c u s 1 U 7 a 6 p N V L N 6 6 G M 1 u B n R R f i q M t p K X h 8 D M H g 8 R V E X O Q P h K X K e w W p U Q Z F r d I y 1 2 s I d F 9 G F 1 g U G K 3 I t a p t + b Q + / 2 O F Y H z K J D O p O X + D d j F B K c W 4 v C z 6 9 n P b F e x J B r X a l q p B c 7 S Z T S D m J G u a 5 b m t r J f d f N L / 5 7 P x S x 7 2 4 I L n c 9 o Z i u P K 8 o 1 a t W 6 m u u L J x N w i R b W p x e K h T y y E w U Y O g 1 o 8 5 P h j P h o 1 I E X x E c 3 G k i 8 W g B C 1 0 q P A t y k b X Z 2 V u U P M t X s u W e e B + f J 2 N b 3 3 / 8 A T z 9 9 U l l Y P p 8 f P / r g x z g 2 8 h T K 8 G M o Y E S 2 l E f A 6 V 1 Z m G g S H n C L W c t N 0 S N Z G o O 7 R L r Q U E 4 d G Y m v G 9 d v K O l G a b U e 6 5 n J Y Q w o s 4 w D Q k b S s o Q D K o B B Z m p F Z K V 6 T p m K 2 4 K c H o t F V a o / B 2 G Z Z 0 U A O M T e 3 n 5 w p B U y Y 1 r d A 1 5 z M c O I 0 P Z B w q V E V x O 1 G z w n J 8 y 5 Q 8 e j Z C a C i b F + E V Y k Z B I L q 8 s y 8 s o C m v / v n / 9 Q H c O q T F w V H E + k p A / F y J Q 2 3 h 8 d x 3 / 1 X / 8 z + W z C 3 f u a Z u O L z 8 L g A s d Q t y b 4 l 3 m O o k 5 X Q I Z 1 y n X 1 N K y g 3 J d t o N a k c I l / n k H 7 w a D 6 n m F 3 M v 2 p E f F 9 V O V Z Y X T R J E y A 5 v 0 e F Z h E f f 6 T T 9 V q 8 p d f e l k x E 6 2 q o L T 9 t d e + g / G J K R W J J A 1 x P m t m 7 B 7 u T 3 y I a T E B m R T 4 P / z l / 6 j q L F 6 5 c g V / 8 R c / U p q Z C L v r u / O h c t k k a s U s R m 9 d x N m z 5 3 H t 2 n U 8 f v x x l d 3 Q K p r H 5 F k W l q 8 1 y n A b O 1 V I m h 1 E y c O s Z 4 Z 4 G e r W 7 e R W k s h p 8 r c k w P X g d V l 3 n N u y 0 N z h O Z p G E F O A 5 8 t / u y V W L g c P H t W 0 G y / F 6 q l s E Z m r V D O I 9 O J E L t P 4 1 S F r w C I 1 1 A o U H h w 8 E t d 6 c B l A N Z J F Y H k Z y D e B v / r p z 5 R v d W D / f r z + 4 9 f x 5 M m T y B c p f b l l a w R 3 b t / B / M I 8 b t + + h Y t f X l J 5 j A W R z l Y b o 6 9 i k i 4 z k w 6 O Y d X N 7 U y l v 5 c 7 g q Y T + 5 4 v f X w Z r F p 4 L 4 r + 1 7 p W z m f y L c d G Y 9 Y a y m K 2 k s k Z 2 C B a 0 c V O Q R O U T E r m 4 X J 8 b v x H B u c Y f n D f g b 6 g E e 1 t X i w s R j A / t 4 D v P f 9 d f P H 5 V z i w 7 1 n 0 h P z w u N z i V 5 1 W i o O F c h i B b J 5 f 3 R V D l a T D Q 8 K N + w Y 7 V M r G I b H L X S 5 n S + 2 k I 1 f V t o G 0 G T 0 i f Y Q 4 4 4 n l O R i N i U Z j F g R d O 5 H 3 r c F r k Y E I / m V E h 0 6 o P m h q c B U b 7 B B y S R E B y 8 s V 1 o L M x c g n 0 / h Z v 0 1 t f 9 m U R Z I X 2 9 t s r K s Q d s H c I Y K F J Y 0 N i O W 4 n S h 3 4 q D g M 8 B R L q G 8 V I Y j v H b 2 / e s E l 7 j / 3 u / + Q B H Q y 6 d e U o E B v 5 g 6 9 J / o X 9 R F E J 5 4 8 j h + 8 P 0 f K B N w 7 8 g e N T F N 5 t D H T o f O M H c S d n i F 0 P Q t V F u B x + U m C / D u 0 d w D n s u M + q Q I H G 7 O x 5 A 4 N S S F I o M a z f f R w X 7 j a d t B T q w p r v R l F J o p Z g c P H B D B t i q 4 z t z X + n w m Z R G T z o S u o B t G q x 2 v / + R N 2 G S s 8 u 6 j O N b v V B Y U i Y H 3 J W P e u H E b e / Y M P x x D 2 c R M O N g t N / Y 6 l K T h x X S b e C P Q 5 G P I l 3 4 T E 0 v D I W 0 b G B 1 f z d s w 1 L Y 2 O L E b k I k o 4 b i T I K N 7 L o 9 D W 4 m 6 3 P O 7 Y i b B 3 A e L C B 7 e e h c 8 l j B g y W h q G 6 b 3 N I R I j C J 5 F + b n V R + F / V a 4 7 V o b W B u c 6 6 M c M k b m a g 1 V V u x 5 i G X x u 0 F n J 0 P S D T H / u L q Y E T G N i B n W t 1 k t + P K L S 8 J Q I j A d H g w N 9 i 8 z E R l n Y y 3 P + u f p S 0 v w D m 8 + k Z 9 f K K x U z i X I N C x l T e F M u t L o o / V 4 M f g Q y x u V i b z V z u w E a 9 H / u Z i 2 F A o s Z c 2 U N p 0 J P p 2 w i Z A z w G Q U 2 p G / p b o Z Q y E j H H J M o P c A T h w e w l L B i b 2 d a / 1 6 j m d P T 5 c K 5 o Q 7 Q u r z r o M S r 4 w w K 3 r 5 w x a o i q k X L 0 6 h z T K o Q r P U Z O y 8 Z q n D H c L 1 3 Q k f Q N P X u v Z p h m K W 5 X 7 n z D c n d c k 4 v D 5 / a / 5 9 B b x M 6 7 F 6 A M V o C R a f B a b d F L M Q 0 O f Q J x m p K X X m b s b C u S V 0 v r j x u q j t g p r O I g z 9 K E D i 4 8 Z r b D O Z j O Y X / a G t I K 4 P 8 p E S n A H p s 3 X r h Z q R n V w t G 0 B w b G n q 0 c / c a O K b m E u b c G u B G S Q s Y V f a m G 6 a w F I K 9 + 7 d w 8 D A g J r 0 X u + a c D X 1 W J y T w A 1 0 e V m z c H s + G 0 1 I W l u p Z B o 9 v d 2 7 D 0 p s l 5 m I V G U G X j F 1 + F C 6 W b h e h a / v F G 5 w t v B Z R N V e y M 7 k U c w W Y K g 1 Y I / P q N / J V 8 y N K 6 c r y M 3 m k L y V V s e m x 7 K I 3 U 6 o a B y d W v Y 6 5 4 w K I g 3 5 W / J 2 W p U d 5 j W X v o h h 5 t 0 F t R 5 p M / C c 3 T K T D g 4 g C a Q V M x E W X 2 v i 2 S n U I 2 9 N X 9 s C 2 0 x J P j E x g f f P f I i J s Q k V g G L k b z O Q N m b F t J 9 9 T 5 z 4 D c A x a N Z O z d g q R Y 2 J s 6 f 3 F v H M w P a Y i f N M F A 5 3 7 4 6 q / m / l 5 9 O a O B A u y 6 u y o 2 2 Z m J r E X V S 4 J I l T F b v S U C x J e 7 B j q 8 W F G p j / V e D S 6 X q b k k B M p 9 9 I 8 u g g Y 3 B 9 i S 1 g V W l E q c q s 0 j h B + x 4 V v K A U a w V e n 6 k 9 n K t K J l L w B 7 T 6 1 + u Z d z 2 4 D i c 1 l U X 6 X g a e b p c q 8 J i b E y a O l V T x y v B T 7 d v W Z u t B 8 5 N 1 z + n E b 9 Q W t r u w K B K 9 8 + F 9 J / p v H i G I X T b 3 A b B t 1 K 6 M 6 H I t 2 8 9 + / k u 8 9 t q r i o h Y g o A E a j J Z R W 6 R j M R k q j W Z 7 f L V 3 N l F d L + s z d l R U x P U e D S h u d H c 7 T v 3 x X 9 b w M s v v a B + 4 z F 8 k U Y 2 o p M 7 E a 3 W + r 5 w V e j L A N s m G p m E T o v l p z / 9 h V q V S 7 N s M 1 9 / t 6 C g e f P N t 2 E 4 e z 3 d M F e i W K y 0 y + A D z p p I b N P m q T q n R / J b E q m O Z G V K r X O h N m F 0 z 5 5 v E 2 d P W 5 i 1 R l r L v T P T W V Q y F b Q t 1 4 n + 6 P w n u H f 3 P v 6 j f / D 3 1 f 3 e f P t X 6 j p d n Z 0 4 c e K Y O u b S l W s 4 8 f g R 9 Z 7 g Y D D z W C 0 e r F T V x t l b M f B 6 L H 4 a h U X a 1 7 3 P h K J 9 c 2 m 5 F U i Q b B N z x r i v F c 2 + 9 e 3 h 2 q 1 q q Q 5 r 0 x Y 4 u 8 X H Y 1 Y 8 P 7 y 6 r e i j B A M V N A F J z L 9 6 5 1 3 8 j d / 5 g W K q m 7 f u q p L S / + y f / / c Y E p P q 0 N E j y o e d n V 1 A m 9 + L m b l F P L 7 3 K C 7 d + A I W u 1 V M o z 6 1 q z t 3 D + G 8 4 x d f X M T T J 5 / E v v 3 7 4 J f j G T i g A K J P t 1 l m y F Z g R J W C 4 O y 5 8 / j + a 9 / d t s m 6 G 5 A u u a L A t G 8 g + E / 3 D P S g m J h E d v E O i q k F J K Y u 4 8 S R v b h y 5 o c 4 d n g / r n 7 4 b 7 F / q A v 3 L / 4 S w 8 E a I k s x l R 2 8 E Q z i s P 6 v / / J f 4 f H H j 6 u a 5 7 V 7 N p Q i Q j Q T Z g Q O + t U S 4 2 q 2 h g u f f o m Q I 4 y x u W l 4 r C 6 1 D J w 1 t X W E e l 3 o 7 x n G T 3 7 y U 3 z w 4 T n 0 9 w 8 o 1 c 0 5 g I R o o P v 3 x 9 R e S l w J 3 A x K I B V q F X + K y 6 + 3 y / x E O V V W 5 b 3 c f W 5 U 3 / p f k D Y d l g c S A b C u y O N 2 Q a H B F w e T U T 4 6 2 + v b U y v W 1 P X 1 M P N u U R A H n a H 8 5 g j j o w R N a L a f A o J b 2 p D B u L a r V u V G Z n Z 8 / s W X S h v f u H F d m V l z y 5 O n J 0 4 c x W J s A X H x j Z 5 5 9 l m c O 3 t W + U n H j z + O g h A 8 s w 6 O H D 2 K W 7 d u Y 6 C / T / w B T k f o y 3 Z 2 1 y d c T s 8 J 7 N H x c T z 7 9 F P K b 2 L b v y 5 w j B n k M L 3 4 4 k v / d O T E 9 z F x 6 1 O h v x o G h 4 Z h E w d 0 a X 4 C + 4 8 8 i f P v / R T P v / g K 4 k u z K B V y O P T E a f Q H v I j d j C u T j O n u t X J t J c u 4 K s Q x c X 8 K q U x K L c n + x R t v o u 6 q I V E t I G l M 4 L 3 3 z k h n Z n D 5 + l c w 2 S 3 Y e 3 S f N K Y B j / / B D A i L 0 a U W / H 3 2 2 e e q o A p X 9 b J O G 7 M e s p k s X v 3 O q 3 C 6 r S p P k M U U C T 6 Y P o / B u S h + 3 o q h q E W + v H h F F V c p L h X V c / E 7 7 H s W 9 q A w q 5 w + f y 4 C 7 4 B b D b 6 y Z X Y A v U 2 c L C T h r W 8 P p R v N z t 1 k X z T j 4 z G b m O I s p L L 8 x S M G n y E W j a o J Y b 5 n F S a G j L t 7 u s U 5 r + K U m G 2 H j x z G i y + 8 g I M H D + D Q w G E c f O I E s i K 5 T 4 o G 6 u 7 p Q m c 4 i B P y H d O f G I I / e u w o h v c 9 B p P N j b 3 D / V j I m B B J m 9 Q U y l b l z T Y D M 9 L v 3 L m H A 0 r r a f U R v w k Y 3 r m S a e R L D f i s Y i O b u C N C A 2 6 7 E T n 5 j u / N u X F 8 c v Y t v P j 7 / 0 S O l g d 1 Z G C 6 F k P n C y E l W V m c n V V h 6 G 9 w G 0 x b p x U f f v Q x v n P 6 F C 5 8 f h H j 4 t B y G x e W / h o Y G s K 1 K 1 + p W f L + g X 5 F w C + 9 + N x y U z Y G C V I R e N P 7 5 t x A v 6 U f 6 e o 8 r H D B b t S S L f X j a V 7 x n G b Q 3 q c E 1 P H x J 5 8 j L 8 K C n e / O u u H f 7 0 O R y 9 8 b T v z y j Z + p G X U u g o t 8 H s W M Z R Z P H D + 6 f O b 2 Q a l O O 5 v E u N 7 k Y 1 v L 8 Q p s r A u + S 5 R r I j h E M H E + 7 O s A B R T b y a w F Z p N T K N C k 4 j 5 e T w i D c K 0 X 1 y Q 1 9 3 X q X h r u A Q / m E x k M F + 6 h 2 H 9 c M W I m V x I r w g V u O n F v S U x r r w g / q z B r z g C f v Y r R + R L 2 C B 0 R i z m 7 n N N Q 9 U u K 4 o K F 3 N s T Z i x h x n D 2 y Z N P q D 7 / p r B l U I I T k N y B n d E j 4 k D 3 O E y X z e j a Z o i X h F S u F W U w 6 t L p N n z 8 8 R d C u H t V Q Z b d o l o r I 1 X T o n 1 C R v C Y u p A u L 6 o A h g M i P U s m N b j r Q 9 R k J B b R Z 6 I t 1 x N l q z G Y 5 F 8 h 2 8 B b b 7 1 L C x H P P f c s X v / J j 2 H i F v / t H U j E I g g E / H j + + e f x x s / f U H v z / i f / 5 B 8 t X 3 F z k H j 4 I t L J F N x e j 2 K m V h o z d T + r 9 k n a L W a S J v T 6 W w d r H g 4 N x P L T 8 F q 6 F D P R 7 O v s 6 l T P w Q p W r H H 4 + Y U v l e n X T L y f T l i x L 1 R F 6 e I 8 A o / 7 4 J 3 + G J n 9 3 x V 6 q O D O Q g 3 H e l u v J G B / M Y j A 0 t + Z q g s D Q d E 2 Y h Z y 6 x l W L W b 4 3 u P x K U 3 2 4 A L J V f A 6 L F X N p N 3 2 Y F D O e z C y 9 3 V g y 4 n d q t D D s r B X 6 P R F U J m s w z e 8 d X o M m Y m V O Y u m C M o N 8 R 9 M D l H r e 1 V R j O 2 A x F + p 5 2 E 2 i J n E l B R V F 8 6 A f D 2 u 0 p h Y 5 t d v 7 V O / c c v + 6 G w a H c E + 5 d D y u P W E q + x y A / e V y q j 8 w p o w Y K V R w F s / P Y s 5 O s k 2 C y 5 f v q K I w i K D H R N m Y h 0 M 5 r 5 d v H h J / D I H B v o G s H d v 6 7 p 1 6 0 G p v h S J q I B E q C O s 2 r O R 6 Z G 4 v v v S z I T Q 2 Q N 1 5 x 4 G 7 O s 7 S 9 L 3 x g x u L w b h t U d h d Z h V z Q s + R z R n h t 9 l l j 5 z o l O e L R Q K I i 1 m u N v t V C b 5 d M K M / e E q n F 1 O F K N F j N U N K J e y C P g 8 6 P S u z h G u B 7 9 j M M I i r 2 o + p r I R y B x / / u f / F t x T e P T e P X R 1 t C P s s 4 h Y N I p W W 5 u V o o P X Y R j 7 y y 8 v q T o b X 6 f / 1 I w d h 8 2 P D 9 5 E + Z I D X c 9 s v t 6 f I E P N p + + J V B d J J H c J 2 L v V s o 3 d g g v u 3 O Y w b E b 3 y u I 7 L m m g h l I S K T u N o L u v p e T T Q S 0 V L 7 P W w S o K F 0 Q b P S d m X o 3 V U L W t b z g g u t l I 6 J 8 5 A d v x X L t Y v w 8 S w 3 r w + f V r k Y D W M 3 g z u G V / 6 K m d 7 f 3 6 d W M m M w 9 D v Y y s m H b u g E c I v Y 4 O 1 x 5 5 H q M I O q j J 1 Y O d F f F 1 t b D x T 1 7 / G f 7 w 7 / y t N S b W / P k I w s 9 y y m T 5 C 8 F m 4 6 O D 0 U S u 5 l 2 K x c F C / m S K t r a A G u e 3 3 v q V K p 3 M q C m 1 V 6 b Y g M v C e h k i s E S y U B g y m s r A B 2 s u f u e 7 r 4 g Q 1 5 Y U s R k L 4 q N l y w Z l R o Z c y 6 b X I 8 K O U 4 + 6 / E s w Z Z 1 w h r d e R k E J z X X + J C Q S P j e G b l X q d 7 u g V q H G K t R Z X k w b I d r X N o N H T T b W K m Y 1 z 7 A Z 4 b I A C 7 W l j o K Y r 8 4 n a v B Y w q K x q i q R d z N w Z n / + z C I 8 y 3 v j b g Y O f j q W R T l R h t 3 H 2 n W t m X D + k w i q m R q 8 e x 7 9 / M h u Q C H A s S v X o 2 L u i 9 q T M b Q 5 D a I F b U K 4 2 p T G j G g g m n T L s S i l V V g 6 T U 9 C J k G n J 7 J q L 1 w S u S 5 Q N h s b Q v n G i a S K E s a E m R g J V L U P X S 4 1 4 c t F k 3 1 9 v X j n n f f Q 1 9 O t A g 9 X L 1 / E p Z u z u H v r C h a W F l A u M m u 9 L m 2 w q I 0 l O j s 7 U a z b 1 O 4 x o 1 E L 9 k q 7 g 8 6 6 0 m z M L N G f 4 V F g V x r K l e 9 S 8 w n c Z X w z k K l 0 M I T J s K L e o V t 1 b C u Q 4 D m v 1 Q z a 2 4 n 5 I k Y G D s g n L W F z I 9 B M 5 O Y F O k q 3 L b D s Z S G Y B i x w w W v d v l 8 X E Y 0 S f N y / Y Y E W 7 v A X u 5 u E 4 7 B Z C M G L 7 N 0 c 2 o + 1 1 k C p + x n x n x 5 u v m u 7 0 J m F R L + R + c n f F 3 P 3 U S i y G G h D G M I A u 7 U M h 8 U j v t T G c 5 T c c u a j j 8 6 p 7 W G Y k F w c L y M g D L U T c K 3 S 6 P 3 7 i h H 2 7 h 2 B x x + Q N r M Y / / I B A u U L y 7 1 o n h 8 9 e l Q x M 1 d n c 8 3 V U t a o p g + i i Q J q + Q S 6 O 3 w Y 7 A 6 I h m o t K D f a O 3 e 3 2 D F D P T 5 w D f X K i D j 1 0 t F W j S m Y q 2 c 2 r E a o C u L P G A w V Z O t z o j 1 8 y J d T y K Z z c B r E j 3 D n Z M D q 4 v Q b R N q 1 S 9 d o D 0 M t U 0 Y O V v m b r m n R O y 7 7 d o s 5 l 6 / F x F 4 u y z V N 8 J o G E L 8 T g 2 E w L R 3 N o E M N J V H h b o 8 D V X M K f t M e t e a p I H 6 W E V Z 5 G V T 4 n S h U q r i 7 V E V v c F 7 5 C A x C Q M w Y i / h o P m u P 3 C c i / p h Z 7 l U V i Z Y k e y J o 3 q f O J a L V m w i Y h p G s j a t B P f v G b f y N 3 3 8 N 1 a w B m c U s / F 1 e p C M Z h P v b k T K O S 1 u G Z P Q N m I 7 c h 8 t v h D 3 e D V e n H f H a P f U c 2 f o 8 C l e t a D v m Q n 6 q L K a x E / V Q U j S o P J v 8 0 8 H A C w M p N q N P + s e L X G 1 O P t X g M w 7 K s 9 F S E H O 3 e l c d a z P 6 1 R I Z p m 7 l E m k 4 2 1 2 q 7 / g 8 H l M P y h V u g F D U w v f C K M n a f b S b H 1 P P z F v m 6 k t I p r s w s R D F c / v 9 S i g u F a f Q 6 R k Q 7 Z 5 T m w V k 6 l M w N 0 K 4 N O O C 0 1 L D Y M c 9 O A v 9 E J c U s 7 X r m J h q Y M j g g u 8 Y L R P x c 8 2 D c m m x V o R O + B z s b 4 5 P X u 5 l k v e O x j B q h i i K j a g a u 8 8 / v Y O j T / T J e E l f V D y Y j j 0 j 4 9 x A T 9 s F 2 C w Z Z H K d c D p i o l m 0 b B 3 S h d v e B q u M c w 0 V E Y 1 7 V I I y / z V H c + v y G 5 c R V c V v z o v 2 Z b + W 8 / t g W V i C b 6 / 4 f t K W Y j 0 B u / R h q j Y l N O l V x 3 G / L I 6 V 6 i A F X r M B p 3 x f a W S F l u S 5 Z r 0 w 9 u Z 2 b v J 1 + i P S I U 4 0 U j V Y 3 R b c F W J 5 9 + 4 H u L Z 4 E 1 2 2 L j U T X W r E p e P b p N O i 8 o A l c T D F z 6 H 0 t 5 a U l n E Y m b I i j C g O L 0 0 s j 6 m b v S L H i x M q L w Y h z C x v b B 5 S Q Q T + x u B B m 3 l E H q O G o m d R t Y W d z H J a + X I c f n u f m G 0 d 0 l k 0 C R M y O D E 5 V p x i E 7 W C 1 q l c Y R x 0 i T M r 9 6 2 k K 3 C 4 7 c r / K m B J d Z r V 6 J F n c 6 n n Y 1 t 4 v 4 q Y h 5 m a x o B m I V 4 S N Q e E g 2 V s 2 P H Z u U u Y m J y E 0 W F C o L 0 N 9 2 a 0 b f s 9 1 r B q K w M m d o s b W W G C t r Z e 9 S z G p A i P e A V x Y x l t z i D y R o s Q q 2 g D r 5 g 1 N o d q S 6 m R U P c g 2 D 8 c O B d 6 k C i P o t 2 6 H 9 l K R J 6 3 R 2 W D 8 J q Z U g R + w 4 j S t G I s K V + 1 7 i j I c Y t I 3 E 6 h L d S v m I P b 2 N i c I o h g U h O y h g r n 6 j T T + e J Y H t 0 e N z K V K 8 J 0 b n Q H v C r 7 P C P m t M / u V 3 N 9 m f q M I s Q q U h j y t W E u a U b A u 6 S y X 3 L w o K 3 c D m d R N I Q h o i p G e d w a H Z B I c / V F Z M o F a Z t J x t c p 1 / N L v w q D Y x b 3 5 g b R 7 k s j J k L A a K o i 0 O Z R 0 V y j s Y h E d o / 0 g g F t H r m z Y Q k 2 a x a V i l t M 0 B J C j v 0 I O w 7 I O L e r s S H T l B C R / p L n l P H U Q U Y x S u + Q H u 3 G g D C D + M H y z 2 4 S R m r P o D R j R s 4 1 q b 7 n m J l E s J K J g u b 9 Q g 8 O E X I Z u b Y m / F k X 0 W 5 o E x p b Q k B o J F e P o J Q v w O A W E 3 i n D H V E J F 6 5 L p w 8 n o K r y 4 n X b / w c p / a 8 J A 9 n w W C o D 7 P z 9 5 C b t s D + 5 / 8 P n F N F m O 8 s o H S w X d Q y T Q w L A t Z B R N J j S j r S 1 K L N b D e S 6 O t K Y p G Y S b B e k x a 9 o 2 S t S J d T W 2 W E O D 4 b 6 4 M h V Y D b X 0 a 7 b a / K 8 7 O S C a R j W M W G D M i B J 9 O y 4 3 R m 0 i B t k I 8 s G B k Q T e a 0 y m B L p 3 h M v Y q B S n I v o 2 h a M o J b i D h b X 1 A a l k z Z M N T V Y B V F W L B j n a Y w 7 M E C j h 8 + i U M H D 8 P f a U L D n M N A z 7 B I U Y c c l 1 D M S T A N p 4 S E Y n g y S d m W g s 3 j Q 5 v d B 4 s Q d 8 2 0 C H v e j p p 3 A v G s S 6 4 z L 3 1 Q V J r D L s + R E o 3 I 5 z f V X K q o P Z + 1 m r Y h Y x h D s Z x H P l W F x x n A v S W H E F E c x W p a B J e Q j i G O a r 0 I e C v I 5 9 P I i e B p C D F 6 b d o O h c n K N J x m r f Q b T f D u g B Y d z e R y 2 N f V r Z x 7 I i v j 4 r W 0 C Z F S W E V R L X e L Z j J J G 0 W o W k Q z W w P 4 / O O v h L i E G I X V v H t M 8 D j C K G X r K N b S q B e p R U V 3 m J L w G / u R b 7 B f 2 x C J J R D L j Y p f X E K 2 K N o 9 M y f P V o X d Y V Y a 1 G v r F G G Z Q M A 1 g X L V K W 1 L S 9 + m h S 0 O S 1 8 O o 9 v d v 1 L m j R F b W h d V E Y B K D M l 4 T c V 8 0 o 6 0 t H 9 R j U e p Q S 3 d K x b Q t L S y J M d R 6 7 v k d 6 G H Q B f s j T b k Z m W s 3 C y 3 4 F N M k x A N X h K L g d a G y x g W B e D m C G q W k / Q L X w p y U 6 P I / h 0 z V K x o V R W P k v f T S J t S O D r c I 4 Q R Q p + 3 V 2 5 m g d 8 b g l 8 a W 7 8 3 K h 1 Z R H l 4 E H N z I Z R E k t n b x Q 4 X j c L 0 o b o p D 7 9 l U I 5 M S V e L 0 2 7 w K w I U e a 4 6 h Y U q M / L g J H A + S L V c U c G E Y s W J 3 p 6 I G n i n a M F 0 a V H M A m F A e 4 d I Z o b T m Q l N C a P N O 5 R F s r N T n M b V e b P a k g V m n 9 j d M g C U Z O V 6 D i 5 h k J I q Q Z Y S J u N i y I a 6 b 0 1 M V 0 o 3 S i l O G j N c x c 7 O q H m w h t J q 3 M 9 W n A 0 l 8 c h s O W F E t 1 G L g p J R h T w Q j 8 b g c 4 e E O U b h N v S K u a I x e q m S E d M 3 p L Q 9 h Y D X Z l E D 7 B O T k N e h J q E J S N j R D q + D Y W s T K h Y x U 4 x i K o m 2 D U r f W 8 1 O d M o z W a 0 2 6 Z N Z V A 3 c 1 k f I J l + D m a t n x T S z V o I I + Y a k j + r S r w w y W B V j 2 a w O V I x c 9 s 5 9 j q x w 2 r Q 6 i t G s 6 D s x 7 W / O e d E r J i u F j 1 H + M T M 7 z z 4 y l B G 2 d 0 k f F X H / 7 g T u T l w X 8 3 Y W M 1 N R 0 d p T 6 N v v g r U W l H 4 2 q a X 0 R m s d T t F 0 Y p s g l l 5 A J l H E 5 z d k v G V s / e 5 x z I 4 u i H b n M n 2 b 3 J 8 M W 8 T Y w m E k s 8 I 8 b Z f F j 0 u q f v D Y h Z a s q x q I z F R Q G p 3 C O S D n F e S e w p C O n L I q a K m 4 T B 3 S k 3 J d G U d t / K Z k f D v l d 7 m W o R 1 T C T M a t n v w k 7 H k 9 1 K 0 h r x t R s a h X 9 G S E r g y D n l h T g r b R H V M C X K H K A M x Z k X g V p n 3 s L U P 5 R N n 1 C u m 2 u z E H Z F Y R p R K o t q E C G I i X V g D 4 v Q r L 8 o F S 6 q x K f F 9 S A g 0 u V g 3 g o h V b 8 k D N Z R q v H 3 r J k Z G 9 g v h C o H I g J Z N U X V M u / m g + C f c A t I o Z t Y + O e e 2 E M s Q G l U j l k q 3 Y K 6 J K j c z c w G Y n O v E Y O 8 i P G a u P e F m Y W L j m k V b W J 0 i e W Z E s / U K A 6 S F U U Q y S s v Y H m 4 U p p h B U I y L y m + z K X / I a n B L B 7 s V I S e q 9 8 U k 0 t J d O O k b l T a Y h J m p y Y h 0 d Q p e s 0 h X k U j s X E o 3 h y E k A x U S I S M + k Y 2 7 N N I / c E n H i w Y S z c b n j h b G x J y S P j T 3 w i G E u h 4 N u W d B / M t 6 3 o h 6 V 0 L a L + a v 9 I Q O 2 v I e Y z c W C z f k k 3 y f 9 y D k 7 0 X D V F G m M Y M M F E D V m l N p D Z o f + V J S E S N h k 3 6 h Z i X a z H s R z 4 / B b t 4 D t 3 A F z V l d i x I Z 8 X n p f 7 F P S Z y 8 n b n W h T v R O n p D 9 4 T w A s q U z 1 f F N B f h x Q E x y X 2 5 H 9 e y / F L E C v F t q s U q W I K d g i V T n x Y t y D n J F G 5 / G R F m z 6 v 1 Q 8 9 / 5 4 h Y N U f x 9 u U q E n d + i W e / M y S a w i t j v x f X 5 k 0 4 K P 0 x m Z x C J H k Y L v u C j L f Q U 3 Y v H u v 7 V B j 5 o H p + I l O b V Y K X q 4 t p H l N A q 3 l K M X 8 5 F v T l 3 c Y e V R q 8 3 T K i x r 7 d f E D o 7 I 7 Q 5 T 5 F R 8 S t p Q o O h q i V t f 6 v V Y T g R N O J 3 F X X E U N V 0 X l C h C I R l G t Q i M b F f y W t i a L d W k N V i 3 H E l x Z Q q J n U l v I O b z 9 6 X M L 1 c p P u 7 k 7 4 x d a l f 8 A 5 A N r + J D S a J 7 S X K U E o L b Q H L C D c 3 o N I a h J z t 7 O w + m r g n q a 6 J u H y c j r P m d I C 8 j k Z o K p I B b G X 2 + 3 7 1 V Y y 1 D T V m g E B T w b W O m v + W U S b p J V m y Z r G V d E X M g 1 V O x k k L 9 K U I M G I 5 y B / x f 6 X j r c 2 3 C o y R 1 O S P p r y B + X O J M D 7 i 1 3 Y 0 6 b Z 1 g 6 R W o a G v J P e p O l J T U T h w O f R z M C Q / H U h V r s D e 6 E D B l t V 3 Y v C g F K S J i K D H N Q u 1 B J w Z J W W n E z P C S H P i + 0 u T q x c N 1 a / h Z / f + Q h f J C 7 i 6 t w 9 n B 3 / G M / 0 P 6 n 6 M 6 4 G f F i Y h p n z d T G 7 e s T X y k q / W a U 9 b i R F S t p N f i E s 0 T D i N z H 4 Q s 3 p t Y p v Z c y q K B 6 f T Q P F l Q U N o 5 i H Y r 7 x W R i k y N U W 1 b U I B o b 4 7 D S d a D b T z + E E K 4 u P F G s s R G J E r r q E Z M E K t 8 2 M w q g V R j G 9 K Z m J U l n 8 Q F N B L A 8 R Y k b R y C K A t E C E m M j m E I L u L n j 7 S 3 D 5 j m H P X q c y m 6 w O I / Z 3 W X H 0 8 G H 4 n O I D i y d 2 d b p L 2 m B B v 9 8 q P u B 9 u O 0 R M c / j 4 i o c x U D 4 H A b c J 1 U b d e T E h K Q m y R Z 9 q q 5 H y X h b M Y B Z b D D 6 b g w s W M Q V 4 J Q N a w 2 y 7 9 k b 3 H W S / U I a 5 H O H X C a 1 g 3 4 0 H R Q G L o n W z s o j N 1 C a F 3 P V K X 6 p 0 J e W Z G B R w j h V m 5 D 7 Z K W H N Y H F v e 6 3 Z K i G 2 K g G M T M s r j A C w R T i 5 Q E 8 L q p 8 c K A P D v G l z E 5 x R k X 9 U z N o q C M p N 6 I q z A o B k 7 D Y o Y z E 8 C F D r h H x P U S C i T 2 c T e c R u V V H K p a X 7 8 q K U D l P Z B b / y i D + V c i x V 8 y J k g p c 5 K s J V B f F i Q y Y x V w s S r t E j R s 6 p I M Y t R F p L M f T R H K I U 8 k O 4 n t F 2 P K P D E Z Y q m 6 R m p Q 6 l E n C K N I F J F y a i b l K H D 1 e u 3 S a X V X C p R R m p S X u H s K 6 e G o e z e A V a c k d G M R J N Y 4 L M 3 e i X h E T T G i t 6 s y I A B F t J 4 x Y E g f W J D a / B W 6 R Z w H V + Q w q O C 3 t w m C L c j 6 N n q L y x z i g N + f F G R Z N w r a U a x U 8 2 X t Y n i k v 1 6 G p R 9 M n L 4 Q i v h H E z L P 2 I m u Y U Q J B C 9 L U h Y n m 1 H O L k S L X F B N a i J j X b W Y m E h Z N V 5 o / H J v 0 l Q p M H W V 5 X k Y B x Z l e F m z s S x I N U 7 t o Z T A q R k 3 N / u A 6 s 1 z J g s q 9 K q a T I S S c b c J Y 3 L p V C L N h x G S s R + 4 k T 2 e a V x Z E o 2 z C R F p M W n t F 2 i Z 9 L G N C o r 6 / e A B z M b + Y k 0 I P X m 2 M C q o v q G 2 L 6 B O r s M 9 n w m j i g p j E Y p 4 V u l E o B 9 A Z u I o B z x O K m a h d 2 S 4 + I 6 0 G u g N + q w / R 8 g z s F j 5 j W I 6 R c Z B n c a v l S F p m R r 3 q V 8 9 h E L p k e y j w 6 B e y D T T h 6 H p Q c c y L B V w 3 T y i h Y 3 R L 6 4 U O G O z R / H y X M v 1 4 f 0 J p c / 4 1 7 r D q U c g 1 i m S x F 1 1 t E U W M y T s 5 2 L p E I s g g 6 j 4 K O Z / a i Y P E c C k f i M F L g h K J Z h l N v u R S A a F g J + z h A p x t Q k h Z A 6 J X x P z w p u B w M y o o 9 q 2 S B i Y s X B D b u r M X V a 9 W i o w P Y j D W 4 B b f g z P w j B w K B c u d T W p g q B n Z M V r U z i H t Y c T J i 8 R M E k 5 u q C U O O F U 3 C Z h Q E k c c / U I t L t K L G R M Z R U j a b + J g W 7 T 5 q U I j i j Y 6 z O I L K K I U X 8 d j 9 i F v W h D b i B q K j J M T R o w j k Z 9 T p q F N r s c o p 9 f e i U x 5 U a 6 r 1 Y T 3 C 2 O U I R J Q + u a 5 3 p d x t P M w B g J i Q g + / q p 6 P 5 g u F E A e b Q Z m w 4 y B s 4 j S T m J z m N t W / f E 5 q M Q Y u y B j 0 t / h M G i P S k t f 6 n U R O f 4 G F M x 2 i W Z N i s o R 6 x D Q v i 7 8 I h q s T q r 9 4 P 1 6 f U v y T 0 U 7 0 B p I Y i 9 n U 5 u T M s n f U x a e U Z 0 1 Y w 3 K e P G v V j H Z 3 X D S h M K 7 4 X w 5 z C R 4 R L N m S H V d n O m A t 3 E F O p L r N F h d t U M T N y e O Y j X c L U 7 G K b Q X J G W G Q w R D O 3 Q + h w z 8 j g s u p T E o + e z z n k H 4 u Y P y r O P L x D K L i k + V i V Z R L d Y R D F J o a M d f E a q E f e H m i F 7 G c G X 0 i 9 E n g t I p 4 j F H 6 j A m 4 H W 5 G F u 3 y b U T G 2 K W m P h j A o g V A y 4 o + F e n U K l q Z a F i m F F 1 R m N O K E Q k O U 0 T c G H d Z + l e Y a 8 K A 0 k I d g Y 6 w M K V W R q w s V t W O G K r d P S m E 0 o + w f 0 q Z P G a f d L S l o S I n z a D 0 p F / l E C Z T x C G P Q b N C U 7 1 2 c c I 7 Y H G w C p D 4 O u I 4 m + Q a Y d c + k Z i L w r R 7 E Z m N o b A o 5 k l A z B E x Q 4 z S Y f a A T a 6 b V s z Q J j 4 O t Y 6 S b I W 8 S r r l z n s s 7 k / G p s l J J m H H 8 h g u j 4 g t Z c T c j K q t Y r 7 8 8 j K O H T 2 M V L E k p h H b 5 E S 8 J O q 7 Y p B 7 L M m A r k 5 I U 0 D o h T F p A p L 4 K C S Y D + g V 6 Z W s j w m R 5 R W B k 4 h 5 X 3 P D J d q w T e 1 a 7 7 Q E l E m U q N 4 T 5 u t R G o 9 w W 8 J o 1 P z i z 4 h w 4 D 8 5 y G H x 4 v 5 X c 2 j r F D N a h B K l J 3 9 r M + 0 V k 0 / L O k n U 7 4 j w E P N v u c / 5 v G Q 6 + i 5 k J g o P r S 2 E x l A a 6 k q j U h P x H D 4 X i Y f j I 4 a 2 H M r P m j + V L D D j Z B Y W S 1 L M s K J Y G n G U F 2 t w + O 2 o G M T k F X + 2 U H a g t 2 1 O f L T V x Y z J v F 8 0 b R F W c 0 U 0 j 5 i g H m F k K w N M T h E s T g R 9 0 + g K L K A v U J A R 8 u D y 9 S k 8 f v A g O o O j S v g y I M T x X k h 7 0 e 1 r S N + 1 I W s 3 I 9 w t 9 / C e g s U 3 h O 6 e B T U l o Y P 5 A W S U a D 6 P f J l r z X L i q 3 K v Z R a U E W 1 d D T Q l D T e U p Z G q T S t h Z D N 6 N W Y R s E / S Y l n R q m H f 8 L e l V D t g H R P L y Y 9 0 Y x J V V 0 o Y c I + c 4 0 L N l 0 Z 7 R 7 9 S E F V h 2 N J s A + 2 h 8 M 4 Y q t 4 Q o h a z q c M / J w z V D u 7 P k 7 o j H R g 0 S q d p h j R 9 C A 4 S V b H d E J S / N c V M d B o 5 g H T e K A 2 5 h s k F Y S w Z Q 4 a / G X G i z 8 R c P b V r n 6 + I q d t L C I b F H 7 L O K 6 n M C K F o b b m + T W z / B W V G 0 T 8 y V h y q E 0 j Y D I n r J h 6 / Y 3 v S s 1 k Z i H 6 E Q n 4 8 d m C / Y i b 6 X 7 F 8 Q U y M e b U F D o m x U S 2 D O 7 o 3 7 3 r X b h 9 Z f s e I H b W f V x H e f M Y A v 5 2 m Z U S I w w F n t Q s F Y U 4 S O o M p z N g g g x B s B 0 0 u + m N a j X f R y K L J a m J + Q H w N Y 8 G 1 M k l O Z r o 3 c R V + X 5 t o J i 1 F i h G q W G 4 C V r m f z e x Q Z h H N F W b X c / M 1 m z L N S k o j V m s l u Z + Y x S K 5 D W K C c P A Z W O G c i o N t Y D + J S c j x K o s S q 8 z V E A j 0 i L C T 5 1 A W g W g x E X A + q 0 s 0 8 i I c Z X H y L S I 8 v J z E z M k r T T 0 o m k K 0 r j C N J g y M m I r 2 i b Y w Y j w 6 o O Y q v 5 o 6 o p j K a C 6 L G S u D J o T u N w 0 r M 7 c u w t Y s U n 4 x 5 c O J v W 0 y h m L S 1 u a V P 8 w E A a c o n z J 9 Q q G X f P 2 K P E c J b s e U m I 7 z s F n M I o w 0 X 3 0 0 a h X t D 3 w y Y U H Y G 0 V v + 6 z K 6 P C J N r b a U n K N p J h h U W E W f T E s z W B G Z h 3 K f + K U D c c y V x Z h w i k c q g F h a g o n 5 R d Z p c + r + 8 U q k + s 7 2 u U 8 R g e n l c K g j c N j D G L q 5 g p i v Y n G L x u i + P 8 A 4 H 2 3 K B c x 6 A c 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 N a m e = " S A   d a u d z u m s "   G u i d = " e 5 c 0 7 e d 8 - d 4 b 6 - 4 d 2 9 - 8 a 4 c - 3 8 5 e f 0 0 8 6 b 2 5 "   R e v = " 1 5 "   R e v G u i d = " 3 e f e 5 9 5 9 - 9 6 4 a - 4 1 d a - b f a 1 - 3 d 3 9 a 8 3 8 c b 4 5 "   V i s i b l e = " t r u e "   I n s t O n l y = " f a l s e " & g t ; & l t ; G e o V i s   V i s i b l e = " t r u e "   L a y e r C o l o r S e t = " t r u e "   R e g i o n S h a d i n g M o d e S e t = " f a l s e "   R e g i o n S h a d i n g M o d e = " G l o b a l "   T T T e m p l a t e = " B a s i c "   V i s u a l T y p e = " R e g i o n C h a r t "   N u l l s = " f a l s e "   Z e r o s = " t r u e "   N e g a t i v e s = " t r u e "   H e a t M a p B l e n d M o d e = " A d d "   V i s u a l S h a p e = " S q u a r e " 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1 & l t ; / R & g t ; & l t ; G & g t ; 0 & l t ; / G & g t ; & l t ; B & g t ; 0 & l t ; / B & g t ; & l t ; A & g t ; 1 & l t ; / A & g t ; & l t ; / L a y e r C o l o r & g t ; & l t ; C o l o r I n d i c e s & g t ; & l t ; C o l o r I n d e x & g t ; 0 & l t ; / C o l o r I n d e x & g t ; & l t ; C o l o r I n d e x & g t ; 1 & l t ; / C o l o r I n d e x & g t ; & l t ; C o l o r I n d e x & g t ; 2 & l t ; / C o l o r I n d e x & g t ; & l t ; C o l o r I n d e x & g t ; 3 & l t ; / C o l o r I n d e x & g t ; & l t ; C o l o r I n d e x & g t ; 4 & l t ; / C o l o r I n d e x & g t ; & l t ; C o l o r I n d e x & g t ; 5 & l t ; / C o l o r I n d e x & g t ; & l t ; C o l o r I n d e x & g t ; 6 & l t ; / C o l o r I n d e x & g t ; & l t ; C o l o r I n d e x & g t ; 7 & l t ; / C o l o r I n d e x & g t ; & l t ; C o l o r I n d e x & g t ; 8 & l t ; / C o l o r I n d e x & g t ; & l t ; C o l o r I n d e x & g t ; 9 & l t ; / C o l o r I n d e x & g t ; & l t ; C o l o r I n d e x & g t ; 1 0 & l t ; / C o l o r I n d e x & g t ; & l t ; C o l o r I n d e x & g t ; 1 1 & l t ; / C o l o r I n d e x & g t ; & l t ; C o l o r I n d e x & g t ; 1 2 & l t ; / C o l o r I n d e x & g t ; & l t ; C o l o r I n d e x & g t ; 1 3 & l t ; / C o l o r I n d e x & g t ; & l t ; C o l o r I n d e x & g t ; 1 4 & l t ; / C o l o r I n d e x & g t ; & l t ; C o l o r I n d e x & g t ; 1 5 & l t ; / C o l o r I n d e x & g t ; & l t ; C o l o r I n d e x & g t ; 1 6 & l t ; / C o l o r I n d e x & g t ; & l t ; C o l o r I n d e x & g t ; 1 7 & l t ; / C o l o r I n d e x & g t ; & l t ; C o l o r I n d e x & g t ; 1 8 & l t ; / C o l o r I n d e x & g t ; & l t ; C o l o r I n d e x & g t ; 1 9 & l t ; / C o l o r I n d e x & g t ; & l t ; C o l o r I n d e x & g t ; 2 0 & l t ; / C o l o r I n d e x & g t ; & l t ; C o l o r I n d e x & g t ; 2 1 & l t ; / C o l o r I n d e x & g t ; & l t ; C o l o r I n d e x & g t ; 2 2 & l t ; / C o l o r I n d e x & g t ; & l t ; C o l o r I n d e x & g t ; 2 3 & l t ; / C o l o r I n d e x & g t ; & l t ; C o l o r I n d e x & g t ; 2 4 & l t ; / C o l o r I n d e x & g t ; & l t ; C o l o r I n d e x & g t ; 2 5 & l t ; / C o l o r I n d e x & g t ; & l t ; C o l o r I n d e x & g t ; 2 6 & l t ; / C o l o r I n d e x & g t ; & l t ; C o l o r I n d e x & g t ; 2 7 & l t ; / C o l o r I n d e x & g t ; & l t ; C o l o r I n d e x & g t ; 2 8 & l t ; / C o l o r I n d e x & g t ; & l t ; C o l o r I n d e x & g t ; 2 9 & l t ; / C o l o r I n d e x & g t ; & l t ; C o l o r I n d e x & g t ; 3 0 & l t ; / C o l o r I n d e x & g t ; & l t ; C o l o r I n d e x & g t ; 3 1 & l t ; / C o l o r I n d e x & g t ; & l t ; C o l o r I n d e x & g t ; 3 2 & l t ; / C o l o r I n d e x & g t ; & l t ; C o l o r I n d e x & g t ; 3 3 & l t ; / C o l o r I n d e x & g t ; & l t ; C o l o r I n d e x & g t ; 3 4 & l t ; / C o l o r I n d e x & g t ; & l t ; C o l o r I n d e x & g t ; 3 5 & l t ; / C o l o r I n d e x & g t ; & l t ; C o l o r I n d e x & g t ; 3 6 & l t ; / C o l o r I n d e x & g t ; & l t ; C o l o r I n d e x & g t ; 3 7 & l t ; / C o l o r I n d e x & g t ; & l t ; C o l o r I n d e x & g t ; 3 8 & l t ; / C o l o r I n d e x & g t ; & l t ; C o l o r I n d e x & g t ; 3 9 & l t ; / C o l o r I n d e x & g t ; & l t ; C o l o r I n d e x & g t ; 4 0 & l t ; / C o l o r I n d e x & g t ; & l t ; C o l o r I n d e x & g t ; 4 1 & l t ; / C o l o r I n d e x & g t ; & l t ; C o l o r I n d e x & g t ; 4 2 & l t ; / C o l o r I n d e x & g t ; & l t ; C o l o r I n d e x & g t ; 4 3 & l t ; / C o l o r I n d e x & g t ; & l t ; C o l o r I n d e x & g t ; 4 4 & l t ; / C o l o r I n d e x & g t ; & l t ; C o l o r I n d e x & g t ; 4 5 & l t ; / C o l o r I n d e x & g t ; & l t ; C o l o r I n d e x & g t ; 4 6 & l t ; / C o l o r I n d e x & g t ; & l t ; C o l o r I n d e x & g t ; 4 7 & l t ; / C o l o r I n d e x & g t ; & l t ; C o l o r I n d e x & g t ; 4 8 & l t ; / C o l o r I n d e x & g t ; & l t ; C o l o r I n d e x & g t ; 4 9 & l t ; / C o l o r I n d e x & g t ; & l t ; C o l o r I n d e x & g t ; 5 0 & l t ; / C o l o r I n d e x & g t ; & l t ; C o l o r I n d e x & g t ; 5 1 & l t ; / C o l o r I n d e x & g t ; & l t ; C o l o r I n d e x & g t ; 5 2 & l t ; / C o l o r I n d e x & g t ; & l t ; C o l o r I n d e x & g t ; 5 3 & l t ; / C o l o r I n d e x & g t ; & l t ; C o l o r I n d e x & g t ; 5 4 & l t ; / C o l o r I n d e x & g t ; & l t ; C o l o r I n d e x & g t ; 5 5 & l t ; / C o l o r I n d e x & g t ; & l t ; C o l o r I n d e x & g t ; 5 6 & l t ; / C o l o r I n d e x & g t ; & l t ; C o l o r I n d e x & g t ; 5 7 & l t ; / C o l o r I n d e x & g t ; & l t ; C o l o r I n d e x & g t ; 5 8 & l t ; / C o l o r I n d e x & g t ; & l t ; C o l o r I n d e x & g t ; 5 9 & l t ; / C o l o r I n d e x & g t ; & l t ; C o l o r I n d e x & g t ; 6 0 & l t ; / C o l o r I n d e x & g t ; & l t ; C o l o r I n d e x & g t ; 6 1 & l t ; / C o l o r I n d e x & g t ; & l t ; C o l o r I n d e x & g t ; 6 2 & l t ; / C o l o r I n d e x & g t ; & l t ; C o l o r I n d e x & g t ; 6 3 & l t ; / C o l o r I n d e x & g t ; & l t ; / C o l o r I n d i c e s & g t ; & l t ; G e o F i e l d W e l l D e f i n i t i o n   T i m e C h u n k = " N o n e "   A c c u m u l a t e = " f a l s e "   D e c a y = " N o n e "   D e c a y T i m e I s N u l l = " t r u e "   D e c a y T i m e T i c k s = " 0 "   V M T i m e A c c u m u l a t e = " f a l s e "   V M T i m e P e r s i s t = " f a l s e "   U s e r N o t M a p B y = " t r u e "   S e l T i m e S t g = " N o n e "   C h o o s i n g G e o F i e l d s = " t r u e " & g t ; & l t ; G e o E n t i t y   N a m e = " U n u s e d "   V i s i b l e = " f a l s e " & g t ; & l t ; G e o C o l u m n s   / & g t ; & l t ; / G e o E n t i t y & g t ; & l t ; M e a s u r e s & g t ; & l t ; M e a s u r e   N a m e = " S A   d a u d z u m s "   V i s i b l e = " t r u e "   D a t a T y p e = " D o u b l e "   M o d e l Q u e r y N a m e = " ' R a n g e ' [ S A   d a u d z u m s ] " & g t ; & l t ; T a b l e   M o d e l N a m e = " R a n g e "   N a m e I n S o u r c e = " R a n g e "   V i s i b l e = " t r u e "   L a s t R e f r e s h = " 0 0 0 1 - 0 1 - 0 1 T 0 0 : 0 0 : 0 0 "   / & g t ; & l t ; / M e a s u r e & g t ; & l t ; / M e a s u r e s & g t ; & l t ; M e a s u r e A F s & g t ; & l t ; A g g r e g a t i o n F u n c t i o n & g t ; S u m & l t ; / A g g r e g a t i o n F u n c t i o n & g t ; & l t ; / M e a s u r e A F s & g t ; & l t ; C a t e g o r y   N a m e = " T e r i t o r i l   v i e n +b a "   V i s i b l e = " t r u e "   D a t a T y p e = " S t r i n g "   M o d e l Q u e r y N a m e = " ' R a n g e ' [ T e r i t o r i l   v i e n +b a ] " & g t ; & l t ; T a b l e   M o d e l N a m e = " R a n g e "   N a m e I n S o u r c e = " R a n g e "   V i s i b l e = " t r u e "   L a s t R e f r e s h = " 0 0 0 1 - 0 1 - 0 1 T 0 0 : 0 0 : 0 0 "   / & g t ; & l t ; / C a t e g o r y & g t ; & l t ; C o l o r A F & g t ; N o n e & l t ; / C o l o r A F & g t ; & l t ; C h o s e n F i e l d s   / & g t ; & l t ; C h u n k B y & g t ; N o n e & l t ; / C h u n k B y & g t ; & l t ; C h o s e n G e o M a p p i n g s & g t ; & l t ; G e o M a p p i n g T y p e & g t ; N o n e & l t ; / G e o M a p p i n g T y p e & g t ; & l t ; / C h o s e n G e o M a p p i n g s & g t ; & l t ; F i l t e r & g t ; & l t ; F C s   / & g t ; & l t ; / F i l t e r & g t ; & l t ; / G e o F i e l d W e l l D e f i n i t i o n & g t ; & l t ; P r o p e r t i e s   / & g t ; & l t ; C h a r t V i s u a l i z a t i o n s   / & g t ; & l t ; O p a c i t y F a c t o r s & g t ; & l t ; O p a c i t y F a c t o r & g t ; 1 & l t ; / O p a c i t y F a c t o r & g t ; & l t ; O p a c i t y F a c t o r & g t ; 1 & l t ; / O p a c i t y F a c t o r & g t ; & l t ; O p a c i t y F a c t o r & g t ; 1 & l t ; / O p a c i t y F a c t o r & g t ; & l t ; O p a c i t y F a c t o r & g t ; 0 . 6 8 7 4 3 1 6 9 3 9 8 9 0 7 0 7 8 & l t ; / O p a c i t y F a c t o r & g t ; & l t ; / O p a c i t y F a c t o r s & g t ; & l t ; D a t a S c a l e s & g t ; & l t ; D a t a S c a l e & g t ; 1 & l t ; / D a t a S c a l e & g t ; & l t ; D a t a S c a l e & g t ; 1 & l t ; / D a t a S c a l e & g t ; & l t ; D a t a S c a l e & g t ; 1 & l t ; / D a t a S c a l e & g t ; & l t ; D a t a S c a l e & g t ; 0 . 4 2 9 5 0 8 1 9 6 7 2 1 3 1 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4.xml>��< ? x m l   v e r s i o n = " 1 . 0 "   e n c o d i n g = " u t f - 1 6 " ? > < V i s u a l i z a t i o n P S t a t e   x m l n s : x s i = " h t t p : / / w w w . w 3 . o r g / 2 0 0 1 / X M L S c h e m a - i n s t a n c e "   x m l n s : x s d = " h t t p : / / w w w . w 3 . o r g / 2 0 0 1 / X M L S c h e m a "   x m l n s = " h t t p : / / m i c r o s o f t . d a t a . v i s u a l i z a t i o n . C l i e n t . E x c e l . P S t a t e / 1 . 0 " > < r p > & l t ; R e g i o n M e t a   x m l n s : i = " h t t p : / / w w w . w 3 . o r g / 2 0 0 1 / X M L S c h e m a - i n s t a n c e " & g t ; & l t ; v e r s i o n & g t ; 1 & l t ; / v e r s i o n & g t ; & l t ; / R e g i o n M e t a & g t ; & l t ; R e g i o n C a c h e   x m l n s : i = " h t t p : / / w w w . w 3 . o r g / 2 0 0 1 / X M L S c h e m a - i n s t a n c e " & g t ; & l t ; r e n t r y & g t ; & l t ; r e n t r y k e y & g t ; & l t ; l a t & g t ; 5 6 . 8 5 4 0 1 1 5 3 5 6 4 4 5 3 1 & l t ; / l a t & g t ; & l t ; l o n & g t ; 2 4 . 9 2 7 0 6 6 8 0 2 9 7 8 5 1 6 & l t ; / l o n & g t ; & l t ; l o d & g t ; 1 & l t ; / l o d & g t ; & l t ; t y p e & g t ; C o u n t r y R e g i o n & l t ; / t y p e & g t ; & l t ; l a n g & g t ; e n - U S & l t ; / l a n g & g t ; & l t ; u r & g t ; L V & l t ; / u r & g t ; & l t ; / r e n t r y k e y & g t ; & l t ; r e n t r y v a l u e & g t ; & l t ; r l i s t & g t ; & l t ; r p o l y g o n s & g t ; & l t ; i d & g t ; 7 0 4 4 2 5 9 7 5 3 8 1 9 6 3 5 7 1 6 & l t ; / i d & g t ; & l t ; r i n g & g t ; 0 k j t y 1 6 9 6 D v 4 z G h n u p K r - l j B s 2 l x E - 3 t g K 0 5 k g K - 0 h B y m p J z 9 Q y 3 l D h 8 z C l 8 G 1 r y C _ t I r u I _ y p R t _ _ B _ r 5 E 5 n k q F n s 8 - C 6 v v B 8 o s 2 B j s n 8 B s n i B k 9 v h B g z u 6 E 1 u - 2 C u l q u C 1 9 - 6 J 0 h T m p m P l l l 1 V m 6 2 O 4 g y C z 1 k X z s n 2 D 4 v 3 g F k u w j B i u L y - E h 5 l 6 C _ u 0 s K y u 3 W l i z 0 C l g h H s p g t D - u B q y 5 9 G l n n P h h 8 B y l 3 t K q j 3 M 7 k - S 1 x 6 W l 2 z q B v r 8 y B 2 k 5 1 M y 0 w L v k s n D 4 9 _ K 6 - q D u 0 h M n g o B 8 6 q D 1 x o 4 F 9 r 3 X 7 6 - s F 5 y 2 4 C 6 0 u E t r 8 C s 3 n D m o 9 b n i o a z m a z j 3 d g 4 t F 4 s o C 3 r p B 4 3 i F t - v U 6 r p I 4 w y i C 2 h 3 5 C w - k F 0 g l Q i 4 3 N 6 6 n D p _ l e m 1 Y x l 3 j C p 9 z v B l h 5 C y o v j B s l _ a g h p K 6 p b h n v B u - _ N w 2 l Q o - - B 3 h z I t s l D s p W 7 7 h F 2 0 s B - g 2 D k 7 8 F q 4 3 G n r x D 8 1 y G 6 t x C 3 z - M o 4 o E g i 8 n B w m 3 L s 1 x m B r g 5 E n o - D 4 o g H 1 m _ G 9 6 U - q 7 x E q y 8 6 B r k j D m s 6 G j 5 6 g B _ v b s g F l k m C w 6 r F 0 i q o B q v t G 9 0 m V q n t V j L 8 j 0 e i 7 o P l 3 t K r h 4 D 6 9 y b t 9 5 D t h y J u _ p F n 1 x K v n 2 E k y z B 1 7 h B - 3 6 b v 0 h H q 7 l H j w K 7 v 4 M 4 i - D w 7 g t B h x 7 W l - 9 I 5 3 0 G t i x H v 3 3 C t 4 2 I r 7 3 Q v j 7 B - h z 3 D 8 4 _ C o m 7 G - I r u 4 B z _ 8 H _ i g m B 3 6 z 2 J l j 7 B 8 u t k E 8 n t C t 1 v L q y 6 4 B 7 z 5 R k W 9 n U q 1 k D z u t B h j P l 7 g C g 8 m K g i 5 D v 2 u 4 B l 6 - I i k n I 9 m m B h n x G o 4 X g j 4 x B 1 w z y E v y 6 C j 7 k B - i n a l 7 z F 7 h 5 x D j y 9 T 6 l r 2 K p 3 - F m 2 7 8 D i t v p B o r 1 K v 4 4 U v v i J z _ B k p N m k 2 B u s t c 0 9 8 D 7 7 y B y r a k 0 0 I k x v d r U g o g K t s x T p 0 j D o q 8 j J y h o D - p n - B v 3 0 s F 6 z j O 5 0 u f _ - o E 4 k h - B o _ o B 2 6 o x E t s 2 t B r l i G 3 h 8 Q _ t 5 l B 4 g 0 i C h g z k D n h 9 t C l 0 k X h x x k C r 1 4 Z s 5 1 5 E - v 9 k B g z 0 L v x q h G 4 4 5 0 C i 5 i p C m 8 7 p F t o n K s p 2 B n w G v p n C x n n D o m J 0 u p C w r v D v 5 s B u v a 3 5 Z n _ D v _ b i s w G o m l j I v h 7 i N 0 5 m L m 0 1 3 I w 9 o v B m u v y Q n q 9 r I 0 n t p E s u q l D _ l _ 9 I 1 n m F 0 x 2 M 0 s k 0 B l 6 h 9 D s 1 u r N 7 l i U 0 4 m 4 T m g t 4 S u o N t 7 u t K 9 h v Q t - _ B 0 r r C v i l B w 0 C p 1 R 9 E l x k D h q 0 B l k Z z 1 L s 6 o K h - k K x u x B 5 h k T u u 3 B h v h c v o R h 0 M t j q C n y m C 5 9 k K k 4 6 H 4 7 C 0 8 _ C z n z B k 1 x U g s t B 5 h k B y 7 i B y t f q 7 0 B 0 0 l B 6 j x B h u y E 6 v U 5 9 n B 5 j z B w 1 l L s - p C r w 2 N t 5 x D 6 1 3 B z n C g 2 X w 1 9 E y 2 J 1 7 E t g y G m 7 0 S v v x D l _ q B 5 5 a _ 0 r F u l 2 C 2 k c n n o I 8 q z B p u 2 B 0 2 o E _ 4 _ D 8 8 m B - 0 2 B j m l B z 6 _ P v s M 6 p w E r o i G 8 q u B k 6 v B x r - C u m S 1 q z G x n s G v 7 r D l 7 j E s 2 Q x n X 6 w p B r l Z 3 o H 2 t 0 B 7 z q D _ v T t z K p k _ C l - o E j 0 N _ g 0 P z n Q s Q s _ q G 0 l h J 5 t 8 B 4 1 U - 5 v D 2 6 B g r N 3 5 1 F v i m C _ 1 - G 7 h 0 G m 1 - K i w r C o 3 O 9 3 h C - 3 r B 3 s Y h x 1 B z _ y Q 4 m 4 C i t k D q q u B i g 3 t G n 3 H z 1 o B i p Q h 0 8 P o 0 p B z 1 C h i m B 5 z m y B h g m s D t h n W n q x T o 6 0 C 5 7 x F x k k F r t 3 D - g r F p 1 - C 5 2 i B 3 - y j D t 9 4 V y j l F 0 n 8 J x j l B n j D i l _ E _ g y V m 1 H v q x D z 6 f s 4 v J - 9 y B z s s C q j p I x t h E j x x B s n X o r k E y r W i 6 M 8 m h B j t h E x F n - j F r p m B y i l N 8 8 i E x 8 i G w y g V g w i P k x 9 I l s E u 3 J i k c q 8 E t 7 g E z j 5 G m 5 5 C m y - B n z 1 B l w h C s i 9 C v r s C r - l C i 8 q B 7 s 4 E i x 2 B g n l C t o I l t J k _ k E p o g C q m W w 8 i S t y j B 6 2 l D z 2 g Y m u a m q l B h m 2 I 6 6 m g B 8 1 z B 0 v p D 3 4 L g 9 X q g o G v i v F m m 7 E 0 1 Z g h f q y 7 C z y f s t j c q k j B y x 6 G w i Q i 1 7 T r n 3 C t x h B v 9 2 Q r v 1 B x m o B v 2 1 C 7 z q B 5 k o B x v d s w m B k 7 4 B u 0 j D 4 m f z 3 z C 3 z 5 G - n y q C 1 r u N 2 s s M h j u D 8 0 j I q s o Q j w - D x h D g y 6 D l 7 G 5 t y o B z 2 9 f j 5 l Y g y 6 D l 9 z C 0 q _ y F u j q P 6 v 1 F 4 N r z i i B j 0 - t B 0 y _ p C q _ 2 o B m 4 8 j C q 3 q 2 F k o l C 2 w x C r - h V v z 3 J r 9 r H y r l k C r k 8 H t y t C 0 g k S 5 l _ G - m k N w w l B x 6 Z _ 1 Y _ 1 O x m w B 2 n b t t q D i - q D z z r B t 3 o C 8 u b s i V n t 8 C z w g B 5 2 2 B u 5 w B l 6 h B 2 u p n B l - 2 B q t t B w 7 C o j S v n u D 9 k 5 L r 2 R m 6 w D m l V 6 j X x r - E 6 s s B k t z M 0 p F i x I 1 _ h I g w y B u 1 o b k h p G 5 n t F m 9 u D 6 7 8 B v i V _ t m L o i x E w i 2 B x w n G y 8 _ L v 5 Y 7 m x C m 0 4 B u i r B 0 u v D 8 E n v 9 B g r n O i k s B z 1 h B _ x i B - m 6 z B 1 l k H y 7 m J r x 3 J p 2 g B g g g B _ k H z 3 s G u t p F m 6 t O 0 y 4 D 7 y x E 8 6 K s - d 9 5 s B h q t C t 5 e n - _ B o i 5 F 8 s 3 F x r t C 3 r y X m t n B r 2 r B 4 n o C 9 0 N _ 1 w F 8 p j B g m x E 4 g r D o 0 q H i 8 n G u j o G y x p H l s 6 F o o k K - 0 5 C 8 o p I m 2 v M 1 _ i i B 0 r k b _ 3 G v q v Y 5 t 9 D n z 7 q C o x s H g v 9 R o x 1 L q 6 j D o m g C g z v C q 1 v L j o 5 B t m 9 f g 4 y H _ _ S j n h D o 5 0 D 6 m 2 R M - w m i C p 4 6 S s _ 9 a h y w T 6 n j b w u m g B h 1 q F 7 x y C h 3 2 9 M m k 9 G w 7 - q C 4 n S l 8 z q B m o g x B z n m k C m m 0 Z z I t 8 z C _ j g h C x s t i B 3 v u P 3 h i v E o o z B k w 4 u C 7 - 5 m C o g g J 7 q v k B n d z j x d l 9 4 g F 5 v 5 U q g 4 P _ 9 q D x t B w 8 0 y H m z i 3 B - _ 5 J l v x L u n 6 j B n 1 v R g i z C 1 s G h y 9 B 4 g g L l 7 r i E l p 8 X - p j i B 8 8 6 H r 8 z D g x g D i w - B u 1 i S u 8 n q B g h y d l v s g C 9 u r p B 4 8 5 B 9 9 U 2 j q O 2 z q H g n y R 7 0 h L 4 l 9 S x 1 1 C v x w C r 9 w F k i j K u k D q z v N q 0 K t 3 2 f g 3 8 d t n v E 7 s w C u r y J r w - d r g p B z p k C p q s C t o q B 0 v u K o p x 8 B i 8 X 4 w w D 8 4 B z 8 J t z N 5 p 6 E 6 h o n B v _ o G s j c 5 j 3 D 9 n l F 7 y 2 B 1 8 q W 6 k d u v 3 H 3 q 6 C t _ x C 2 s - B y 8 5 D 4 v 4 B z u x E u 5 g C o l K 4 y m B 0 u s C v h o B u 1 w B h m O x y b - i p B y h Q l y p G _ n p K u 4 l L p v x F u - p O 9 4 7 h B s m o v B _ 3 B 1 r B v 1 0 0 D 8 m 5 Y _ 9 f o 9 o L p l r H w k i E t 0 N 5 0 t I m y s D j h h D o 7 1 B g n r K - z V i h 2 K w h h D z 6 3 C t p p H x t h B g g s B m 8 p B 9 k z B 7 _ 3 M w 3 w C m k d u 8 k C x 2 p G q j 8 D q o S 2 9 3 H o - x V 7 7 l H _ 7 _ F i n D y 0 8 B 7 o 1 C x w j M h 3 6 C u V q h 8 C v 9 d i l o G j w w B s y w H z q 0 J g 0 Z q j 6 E 4 9 p C 7 - T 2 8 k H x q l I _ 1 y F o t y H l r p B m 8 m C y v v I 8 q l T 6 t t B y t i B i 5 a o n 4 S h o I z 4 x h B 1 _ 6 D s l _ B n l l D k z x K m 7 S l o H 7 8 T z k n B y 8 r B 9 2 n C h v 4 C 5 y 4 E v w - C r i o T i 4 j J 1 _ 6 F l o 6 Q 6 1 l k B _ 4 r F w 7 y C p u 4 C p 0 t D q 4 p X w 5 - D _ g c u j o J - n - C s z j C u w 0 H - s p W h 3 t Q 9 u y G m _ 4 I n 1 p 5 I q m p O 2 0 u j C j 2 k e k w 3 D j 8 x R m 3 5 B g w q l B i m p s B 0 n z B 5 y x D 3 j - g C - - v 6 B u s 7 k Q u i y v F i 6 k i B o z 2 2 B j 5 4 4 J 6 l - X v p 4 Y 8 7 h m E m 1 - P q y 3 S j 6 p D _ _ 5 u B - 1 x C p q l U 8 s j B _ s l B z c t 4 l B m z O g k l B p v l B w 6 2 F 4 t i C 9 9 - B h t 7 D i _ V 3 u - B o 6 4 B o h d 6 x z B o q u C 2 k c 9 x q C 8 u 0 C n l l D x w n C y 3 Q 5 4 o C g w 2 C h - d n k U t 7 t B 1 p h C z q j F z k h I 0 8 I 4 q 6 C k k o B 2 5 4 h B 0 g a t t 7 B z _ 4 D g y 1 B 9 m H 2 q R k x J t v 3 E 0 8 4 C _ p 7 E k 4 y M 5 4 L j u 1 B 2 n K 9 o 8 N 6 q P q 0 k I - y y B 5 5 p C i z o R w _ l B - 7 _ C k t Y h x k I x w 9 B k 0 u M l y p E o n x C 2 7 5 C s 6 5 B o j 2 D 9 y w C _ z K 2 t y B 4 3 v E u x _ U q x v F z 9 w D k j 7 C 8 r y C 2 1 g C h z n O 7 s u C i v 0 F z i t M m M 8 t O z 2 9 B k t n B l _ i H 0 6 g K x 0 W t 6 y Q n q H w z t a k y l B s _ u I i y x R g 5 1 L 5 p f g j p B _ _ J v q 8 E o t 8 C t u k D v n f l a z h o B i 8 4 C z j T x _ g H 3 5 h G h j m B p o m D r n 8 N s p _ M g 9 D k - n D m 2 v H l 1 t H 1 8 s B m j 5 K s g o C 1 6 - C n i 9 C m z J 7 w 3 K l 2 V i 6 i H k 7 W 1 4 _ C l _ b m 9 _ C t k v H 1 o 5 U 0 0 j J 1 w z D 2 o f j l k F i o l N h n g E 7 n R 1 8 a s r h B 8 q o C p 3 c r n 7 B 2 9 a n 1 K y _ 8 G m B i l D v _ F z F k 3 T 8 0 5 P j m 1 B u j I 0 i k G n r P u v V p x x B 5 5 L k q k B i r t E _ 5 X v g h E z 6 2 B u j k B z t _ U q _ m C u 4 8 B 9 8 j B m 6 C 8 - x B x t T v g y G 0 j s B g 6 3 C s - S 5 y l C w w v B l p 2 F 1 y k C v - n B l s 9 B 0 l W z q k E w i 8 D 1 l g B g x Y - - l B _ v O y r y C j 7 g F z 0 7 G 4 _ 9 F t p 6 C o s w E 4 k g F r h v G p 0 m G r 8 M m 0 9 b v z i B j l 7 D y n z E k n H j k j B 2 y M p k g C 6 1 T 5 y s C 4 3 M u n b 6 k r B z 1 d 3 5 6 F - n k C 3 s H i z r G 7 i i I y n w F z 7 l E 5 9 g M r 2 w C 8 t 3 B k o R i w u K l 6 E 5 o u J z 5 9 B 8 2 t D y z t G 6 x z C 6 z a 7 r - C 2 l 1 C s x m G 6 y o B 7 n m H h i x C i 8 p C t t 4 T m s s L 6 9 g B 8 D s l y L 8 n R 5 i - H k 3 n B 6 p g B 4 9 P r r 7 D q 2 3 N 1 5 m B 5 - l N 9 h 9 Y u 0 m B x _ k S j n 8 B l x i B y - p B 6 x 2 N 2 y r F k r h B u o u I z u u F 3 l V 2 4 f r l z M y m 4 B 3 k r G p h 3 D i 4 o w B 2 i L v u w _ C w u o t E t o j I 2 9 r O j o h n F r q _ D 3 v - b 5 j i Q l - p G x _ t i B w - 5 D _ 5 4 t B u - - _ E i m 8 S y 2 j D 2 h - G x q v W 7 5 6 4 B q y s C l 7 l B p j z q C w p w Q r 7 g w D 2 j 9 2 D w t - O y u v F 0 0 q c m 7 U i n 7 - H t 8 9 E o 1 m Q k g _ K 8 - q 8 H t 0 U _ l y D 6 5 5 G 1 - o E x u m J _ 3 f r w o B 5 t y F s 7 u Q j 9 t P r 2 o B 9 j 8 F z j k G - r y H w x l z C s o O x 6 L t n 6 B z 8 t F p k i B 4 8 s G g i t B 5 w 9 G q j - H q 6 u C o m 7 Q y k z B r w 4 G t k 4 L g y n Q 3 4 0 B y c s t I z 5 C y 3 r D l s t D m j o B - 4 j C u o 1 c 8 5 u C m k l J 3 y 8 B v n p I g o h n B 9 x Y w 2 2 B 2 g 8 D o z 1 B 9 5 K 1 z j B z z c 3 l 8 E z 5 m J 4 _ m B _ 3 a x o R i 0 5 D _ p n K t h o D g _ x D p n x B r 3 3 N 0 - m W g 5 1 B r y I 2 h 8 e o o s G w 4 q D 5 9 u B q j v F 1 p m D z v u C p s m K h g r B x t u C - p k E t 2 j u B 2 z J y l h N _ y X 6 v o j B v z 5 D n n X 0 t l B j t p B p s w B v 4 j F g 7 5 E g 3 y T z m 8 I h 3 r E 4 _ l D 8 5 T l 8 u G 7 9 2 B w w Y 9 4 e y l d y 0 j G _ y k H s 5 5 Q s u k B x 0 j F 5 u s D n 2 C v g v C j 2 o C 7 w q P 7 6 g B g n k D 1 o 8 M i - u a 7 9 6 E 2 4 3 i B v y t E w R l 0 7 O u l B 2 w E o 9 8 C i w a w 6 v B r 1 R 8 1 7 q J - t 5 H k p j j B t 0 m F w w 9 l C p o v z C g n E _ - w f n o 7 g D l t q 6 D n 0 6 v C 5 1 u J y 4 1 0 K M i B m j f v t E g - 0 I T 6 q U j 7 d 0 y q E o w 4 6 S r 2 g r B - 6 _ E l o 1 - G h 2 z m I h 9 1 H 6 g - y B o 3 k L h 8 q e 3 4 e 3 j 1 B 3 4 k L 7 8 m B x t x F o 3 y E i g _ B 2 u h k B 6 z z B 9 k 7 P 6 y r C q g g B m j w Z i o - V 5 j 8 B o j g B k t 3 B x y w C r 0 3 D 6 1 G u w I o l s J x q 2 E k q p F 6 w I p v N x q l E 0 x p D 6 m y G - u 0 J z - j B i 6 v f h g l B 0 r 4 I u 2 J o r 0 D g 3 m B 0 v v B w m P i q 4 S q 3 k E 2 4 S z n o H 1 6 d j k 5 G r 5 H 5 9 6 G - 8 _ D 4 4 5 E 8 v Y 6 4 q B - k j C 9 9 Q l s i R 6 w o B x 4 6 B u p x D g g 4 v B y 6 o N u n n F 6 w l B 5 6 0 T _ 2 p F l g j i B l 9 8 Z y q g D 9 _ J 0 v 2 C 4 7 o J t j z d i g 3 B x z n D 0 w 9 T r _ C q s 0 C 7 2 D 6 u L - q W p s l B _ - f 6 n s L m _ X 2 - h F - 9 y E o n x C 0 q j W - s j G i 4 1 B x 0 l H 5 n 3 E k 4 - P q 5 b 2 i u j B l y F 7 w e i x j h B s 7 0 D 8 0 o C i s z F u 4 f x v M 6 - 7 p B 1 w 1 D i 3 1 G 3 v u N x r h 8 B y k 5 L 7 z X _ n l C v o z B 1 2 m D n s o I 7 y x B o s R 2 l y 4 B 2 E v 0 o C 0 6 v P t p k p B o h x a 9 k q U g - v x B 2 i j h B 8 - 7 U r k r V 3 j s a r k w e q r t B 3 r r B 0 z l C u p K 3 n 8 C 5 m Z 2 z E w - G i g m D 2 _ g C m 4 p F 0 1 4 B 6 i H q t l B _ s 4 C i - m E k z m J w 5 y K n u v B 2 _ 4 D p 9 z C p 5 r W n p 9 M 4 y p K i g m K 0 j k V w w y B 0 2 H 2 x 9 H 6 9 L y j t L 7 y y C z t M x m 5 G y 1 2 M w 3 i D q r o C x z i Q 4 _ S m 5 i K 5 h h D h t W k E 9 B n o v B q 7 5 B _ m l M r w V 4 w C 4 s d q r s N v r T m _ x B 5 6 h B m 4 3 C t 7 z C k x 4 S m w M 2 5 0 D 3 h _ K 2 i q v B k n q p C 6 2 v C y _ 5 r C 9 p h H 2 g v h H 8 1 k U s 0 u B g m 5 P h r m K 2 k 2 C 4 l m i B n 5 b 9 y 9 K - l 9 D 9 q o T v x l d p 2 6 B - 2 o S n 9 t B 4 i g E s M q j c u w g G 1 u x B 9 h 7 F 1 o 0 B 7 B z 2 n I h s 0 E v v 7 G 9 m s C n p 9 D u 2 y K 4 5 8 C 2 k r B s y u B 1 2 - C s 6 3 F m 6 p C j j Q 4 k V s 0 o B l v h D 2 q V o h 7 H _ n q T x o w E 0 x c m 5 Z s 2 o N p l Y 5 h h K t 6 G y n V 5 4 U k 5 y B o j 4 D l 7 a m o q E y k h B u j 6 B 2 h q B s 0 0 E 2 h v M g 5 n B w 9 x I 8 6 K _ w u S w k g D l o 4 8 D w 8 C l k q 6 B l 2 9 F j z 9 N 8 _ 7 D 5 9 Z j 6 Q m z 0 B 8 r c j z 5 G j z l j C u t G 7 1 q e 5 m 1 D 4 l J y _ x H w 2 5 B 6 s 9 F s r 8 L 5 1 i C 1 h h D 2 9 R s r u E i - w U 3 v G - 9 k D 0 l g D t t T v k 5 B p g 6 E l 7 - B y i p D y j Z g k V z w w B h 5 Z 9 5 i B v 8 1 Q _ - v C s j e n 8 y B j l z F l 5 n F u g u I _ 8 h S 9 p 0 d i w i I 6 t u r I u 9 r x E n 1 5 r D k 6 8 C y m k B r s 7 G s 1 n B 8 u k V h l x J y p 2 M 8 7 h P s 2 r k B l g 7 w C 7 _ w o B 3 p 6 J s n 4 t B w 2 z - F l l - r B _ 3 j 6 B 1 s l 1 F n k 8 2 J y 2 q B v 1 3 M j 8 - N q g 8 T h z s o C h 1 q p B 1 m 4 O r l 1 B u - n M o v s u B 3 s 8 7 L u - g p I j 6 9 W 1 j t o N i j 3 B x i n X m 7 i V t u z w D g g n P 4 k F x y i h H y 7 y a w h i B z r n J t k 4 y Q s x 9 8 C 8 j i W 7 t 1 4 E z 7 j H l 1 9 3 I m l 7 3 B r y x G 3 2 j 7 C m h t 1 E t 6 9 W 8 q q o C p 3 q C 2 w l B u o 1 P - o 1 B 3 u h F i y I w h s J l r o B n r i G n i u B r y x E 0 r o E n 6 6 g B x g v G 5 9 7 G g 8 y J 4 o 7 B m 0 g J m _ p C - n 1 D s 7 3 H w k 7 W 7 0 S s r z 6 B m t w F x u _ B g i P k 7 j X y 2 - I 4 t 2 p B - n l 0 D 6 r z W p m - C x h - h K x h - h K 1 q z _ B l j 0 L j _ 9 Q i 3 0 i B 4 2 L 5 r r k H g 3 v D 9 6 i G - 6 3 C g 7 l F 1 _ z M 2 _ u H k v h F q 3 c w 2 g 8 C p 9 h g B r p G u h j 5 F 3 0 2 O 9 6 p T 6 B 6 i r J p 7 q s B o n 8 b 6 r 4 B n p x s B w _ l C 3 y g f j v 5 B _ k K p m n X r i - c k t y E p g m Q k w p B 2 7 x F g - g m B m h m p B p j x U x x 8 W 8 h u o C 2 v p g B y 2 n B g p p D n 9 v D 8 t s H u 8 5 F 0 E s q h B x n I 5 q u F z 7 j B t 3 h D s x J r u m B x r j K h 6 i Q 4 p x C s _ w L 2 w l L y k q E i i X n - 2 C 9 j 5 C h o q C 3 h 2 E i u n E q m l B 2 s o C q 0 u G k _ x B v v k D r u F x l h 0 D 5 - 5 y C 2 l o x C i y l g D 6 n j M r 7 i j I - 8 u 5 B 2 q D 4 p _ 6 D 3 k k g H y x h K 5 6 n g G 2 5 v Q 1 q - d _ - j t B p u k j C - h _ _ L 7 _ o E q 0 t 9 L _ 4 0 l K u 7 w O t - r z H _ 1 t o B 1 k M m y 1 1 T y _ 7 D 5 x 6 n H v i l 5 D p 5 M l 4 8 r T k w s C h 3 k l F 0 1 v u E t k 9 B 5 - g z I w v - r C o x 9 5 C 8 6 _ t B w l w 6 H - m 3 R j g s o F 2 m 6 H o y w g B z 7 k j C i h 0 h F g L x 5 _ x E 5 k u x G 5 r B m j y 6 R z g u F q k 7 c 3 1 8 n B x v j 7 N k I t q _ 4 J 8 _ n L y x F 5 1 h y L x l D m q q _ O o z _ Y x s r s F q r D g 3 q 7 C u w r 4 K u w r 4 K 0 o g u I - q q H w 0 l t R 0 i 0 9 K 6 z m U 4 k U g p 7 l S 0 7 I q o z p D 5 g 5 Q 3 h 4 j G 1 9 D 8 6 1 M 3 w v v H h 8 v f t 2 6 8 B t 5 u I m 1 l 3 D s u 7 5 M 8 q 4 B p w u w H t - m l B q 9 g p B 6 5 l m D n 9 v r J z s 9 2 F t i 0 l B y 9 k K v q k J w v y _ E s 8 n E 1 0 z _ J k o p v C 7 7 m t C g t 3 y J k t u D v 8 w s M q 2 h g G n _ 2 6 B 7 5 _ x C 4 4 - r C k 6 i G x 7 p U 5 h 7 q I 9 v q L k 3 g _ L 2 3 2 E t 6 7 4 G - x q 5 G t 5 u V u t u 2 E 0 j 5 E p 3 8 3 B j 7 1 L 9 - _ j B p m n l B u l j p B u 6 B 5 8 n 6 B w 6 z 8 E g k r q D r y z l B w i y k B y q v m B z v k j K o m u I l 7 x l F 9 3 f 8 o x 2 E u o s i B _ p 6 g C g x o a 7 - - B j m n p D v z w 7 F 8 3 w O 5 m t 8 J _ l - i I t _ j c 9 9 5 y C u s l m D o v x k B y t 3 h K 8 p 4 X m 9 4 n L 9 j h h D l j 1 B t w 4 k E 2 w C z q 1 v M g 6 4 v B k v z C o v u z P z o - o I h v 1 B _ 8 x 7 E 7 w 0 V l o 3 9 D r 1 2 0 D x 7 v h B n 4 2 q D v h 2 H o 7 h S 0 7 2 9 G 9 p v p B 7 w l p I 6 - g m B r E w 6 4 u J p j n 5 B l 3 7 o D 9 k 9 9 G t u i M - h 9 B j n z z K P 3 z _ h N j m z G j 0 x 2 M i g i b 6 x 9 3 F _ q 3 d v 2 a 8 w s 9 V k 8 x K q j 3 2 C 8 g n n L 4 g d l g - 9 S 5 g B w t m F 5 u m r F n _ l X v 3 2 M 7 5 o B 3 k p V 8 v - 4 G 9 h j Y i v 1 u C s u 6 s D 2 4 g m B k j v t F 9 3 9 G 9 q i 3 P i r w l B 4 j 4 k H k 8 z y E u x n i G k M h m G 6 m 1 g C 9 j 7 V i m v - B - t K v 7 j x B 6 3 1 v G 9 s l V u o w l B _ 0 - w C s 8 h i E s k r K x j o z H 4 _ 1 D k n h d o s m S v y t 9 C x g v x B g 7 _ P g 9 h a - 1 h - B 9 x p z B 8 - 6 C u q y _ E q 4 _ y C 4 3 h O l n j z B 9 h 2 P 9 m z w C 5 x _ _ B x o h U v 3 u v C 6 u 5 M z j 5 _ P t 9 2 u B r j u l H 3 u k h B h z 9 n B g g m z B s 7 n P _ g s p F 9 9 q a i 7 8 u Z s r n B p 5 p x E q 7 g p H t 2 - X 3 7 t - D o 5 h 8 B 6 2 k L x j u W n 7 k F 2 u v g B k s h 7 I q z 6 S k 8 5 P l h p j C w n z F x g 2 u I j n w s B 7 g 6 n D r m h _ B p h 6 m E 5 u 7 u B - 0 9 6 C m y y f _ 1 z F 4 - x q I l p z D 0 y w 6 H h u 3 f 4 - q 7 B o h w P g 3 - o F p s p n E q o t F w w l g B w w l g B 3 h 7 0 E u x q X 4 w 4 P w 1 x 4 K t 9 k z B u i n c - g s f x B w h 3 S y s m h B i h _ J r r q m D 2 I 0 x p h H 3 h x N 2 y _ J u h z s D y n t 2 C 6 v t z B z 7 x m D s o 3 Q w - 6 5 B _ l o B u x q t M v 6 D u u j 8 E 8 8 4 p C s m n P j 8 8 s C i j 7 o L m v B m 1 _ 7 C w l w t D m u y C m - t g C j o g - I - k r s E t 4 7 E _ 6 n - E 0 w r E l q 7 B k x j i K 3 m - J o x q _ H - 6 o e s z x 7 I 4 q n q R 8 u - j C j q - J z 0 g s D 2 h _ - F 0 6 p k B h k t V 3 r _ q E 7 n k J r 0 l C z q u q K - j q C k 8 7 r B - 5 o w D 6 t C x w p u D z y 0 u D n 4 5 _ B l i m g G 8 j g q B v u l C 9 n i D w - 6 j G o - z U o 5 v O 3 o _ 9 D 4 p q 2 B m - 0 K v r K l - k n F v q k g E w x y E l 1 t m J v u q H j r o Y _ 0 5 w D _ 8 g b r l k 3 B r z H t 2 m m E g y 4 7 F v 3 g a m p q _ F _ 8 q P _ h 1 m E 0 u h 7 C z z r p C g 5 o 1 F n t u C 2 3 n l F l k 8 u B 6 z 3 J 3 9 6 7 D x z k 9 F l w 6 t G _ s s r C m p 8 C j m u 6 D u p 8 o E r s w 5 B k l 5 m D 3 g i X - t p D m k - r I r r 8 W x o s w B k 2 8 o H u t o B m _ u _ O 1 w j B 2 z 8 t D k t 7 S g w s R g 4 m 9 C m p w I g m m C z 7 3 n H 6 9 k o E g w 6 6 F 9 o 3 0 C m m 2 r F l r j 4 I u x k h C r m 0 1 H 7 2 F h k t i N 8 k t I 0 h y q K i i s 5 E 6 r 8 - B - t 3 1 T 6 3 _ E r _ w 2 I 4 g v q F - 4 7 S - - n e - v k u R o 7 5 y D 7 y k m E g o g 2 E g y 7 9 F m 8 - n S 2 i _ 1 R 5 2 x 9 C q t u x E w 2 u 6 H q o 2 G 9 n 5 5 K p q 9 I y 4 7 - G y _ m G l n 9 v N h 8 s U - j 8 t H n r m y w B n 5 3 H l 9 2 m H x m 9 4 J 0 h m 5 J 7 z 6 - E s n h l C m n 7 9 Q j v g E q 5 x h B z m 8 1 T r 2 4 2 F u 4 k O q 2 0 4 E - s z 5 X n 5 F j o _ x Y 2 9 s 5 H m 3 - u B v p o c _ v _ g Y z j m Z - o d 7 v o h M y z q y T l q l t C k u 1 m E k i 5 V t v r 7 T 3 y x 7 E _ v h i F t v r 7 T p y 9 x B l y u t E - 4 i S i m 3 _ _ B m j 0 E s i s p H v 1 5 - B 6 x r n O p s h X v t z r G r y p 8 F j 0 6 n T i q _ G r l 1 j B g 1 s p J 6 k k 9 I y k w k B 1 0 q q P p x p o C k 5 9 5 F g 3 1 q P 1 j t D i 7 9 k K o 2 4 i M h x i j M 5 m _ y D _ - h w C 6 y n q D n n 9 l C 9 - h 1 J 9 - h 1 J 7 - h 1 J i 6 m - I 8 h N 5 5 o 7 J 0 r n t n B 1 v t D y _ h 3 F 1 m 0 b m 2 o h 3 B w n L p v s 0 H - y 8 u N 4 z x j C k 4 _ J 3 7 o i P 7 j 2 H x 2 1 g J g m t z B r m z i E i q 1 5 K j h g v K k j D k C u w 7 n M z 8 g q M 1 8 g q M m s y v C 3 j 0 i H _ j v m B u j y - N 6 s i t T w h _ F h 4 9 y T w 4 7 W l 5 6 a 3 - j h T _ 4 4 h C s _ - 7 E i p 3 o E m n r 5 D o 1 k t B 1 6 o 1 J j m l j B 4 y 5 x G w 5 r z K n o q P v 1 - 7 N 5 l T 6 x t F _ l 2 2 J p r s j G y r u x B i z l k Q 1 h 2 G q t n d - 9 q r M k k j J p g 2 o S 7 2 k D t 6 - j L i t j h D j y l H r u v v N 4 2 h v G 3 q k Y z 5 u C _ y 2 m P m 1 s n P h 0 h n P z p x f m p h p D g l 2 1 B _ i n n V z g o o D k g w 7 H 7 2 5 4 I g h 8 u E m 2 F 3 v z k i B 7 g 4 E 2 p x r T n q 4 Y w 3 o g D t n 5 n I t g g m V 5 6 j h C 6 j t 1 I 6 h t B 0 0 m o R r - j j K 9 t q e 3 8 6 n R 8 k v n R u t p C l w 9 j C r 4 0 r H j 5 x 7 T 8 9 2 u F 3 u 5 v E n 7 n y F s _ w l I o i 6 D p r 2 8 g B j h q D l 3 j u F l i r 3 H 6 j n 8 F o p p s E 3 6 6 1 J q 3 l f z 4 j h K j u H i 0 4 n O s 2 q z D m v z M i x y y F 6 9 4 q J v y _ Q m w w 2 F x s 6 m E p 0 p v B _ o v h N 8 o v h N 6 v 3 Z z x 2 y E h n 4 S s r - _ O z p q - O 1 p q - O k x o 5 C k 1 4 U j v p g C x 8 o x P s h 0 x P 2 j 6 0 J z s p W 4 3 9 w P x 8 o x P 8 7 y 5 B p v 5 z F n y u - E p s k 7 B r 5 7 z z B 0 k 4 1 C i k 9 8 E v v 5 m M g 4 t K 3 q k x Q 6 6 v x Q 5 8 g w K 2 - 4 V z s j 9 E 3 0 u y C k p 9 t M 4 n x u M p 1 2 4 x B m m i G j 6 s C g 9 - y H 2 6 7 9 L y p o 9 L 0 k u s B 5 5 u m E 2 8 5 s 3 C j u 3 l B v j y 6 F r z 5 3 N 9 6 y 3 B q y _ 2 F 6 n 0 - 2 B t y 2 V r 3 _ 9 J o r m H n p j 7 P 3 y - e 7 g 3 8 C m - l 2 O 5 x 9 6 B v r j B o 3 v o Z y i B w q u r E n 6 j y L h x 9 t L 1 q n u E t 0 t l C p u m o H 0 k z l E 6 0 s u N 1 i n u E v l g W 8 - x s F w 2 y - Y t 4 k F j z s N p 4 5 u V w w s o B q r s n O i 6 j X q _ g u E p 7 - m J x s j g T u r 5 T u u y 5 C 5 y z l M 0 k n 9 B z w g i B l y 5 j D - 3 u B k 8 s 2 I 1 p z _ J 6 u p _ F 2 0 3 X t x u s O o 8 w 1 D g m k 6 C x g n w L n 5 j s B p 3 g m h D 8 o s 7 C j h q z N q 3 u H u 4 4 7 B i s j w O s p i 2 C 7 g t i O 3 u _ D k p 7 s D h z m z a h z o E o g 2 _ W z g 0 0 G m k 2 4 C h 4 9 b g h t l V u w o O k _ 6 w V 7 z n H 6 r r 8 H j 3 9 r B h m 5 7 P y 9 t 7 P 9 _ y 8 B g j - _ C q j 5 p B 4 9 0 m T g 3 x 5 S 2 l C o k 1 s B _ 1 4 z K 5 9 9 8 T n j 4 H k 2 D i k n 0 M 5 s t v C 6 - v 9 C 6 s v 3 C g u l o L m o 4 y D 8 0 x g p C - 8 q 8 F 6 z v k F h j 6 2 C j 2 t q P y v w q I - _ v z B p h 1 l D v s 0 o J 3 w r p X r 9 5 C 8 9 w C u x 0 h M z m i y P 7 k w o B u l o w G x 8 y 3 M m i x G s s s g J i 0 r 1 G r 3 r Z h _ 3 3 M - k 0 u E k 7 r u B 2 9 j m U _ i 7 r Q 7 v h T g i - p K t g z 0 F p _ q k C 1 n r l G x 0 s k B _ u y k H y _ _ O i w x B g l r k B x q n i E 6 3 j m H w n x S k 2 _ Q g 8 r j G 5 u 8 i B i 4 k 4 X i i 2 G j n n x B y 5 r 1 B 4 p l k D 0 2 _ r P q y v d 7 q l 7 X g 9 w M s _ 6 O 8 6 x 5 B h v 2 j D g x i k H t x y 1 C g k 5 i F l q j R z g E 6 2 z y M 8 v 4 D k x 0 v F h t 8 e r l 4 R m 5 t j F q z l 6 B 3 6 v D m r j 4 B o x 5 P w 9 z W m p k 9 B 6 g 7 p E w v _ 8 D 3 - m r D r x - p B t s _ 9 B t j o _ F h w y X 0 x w i U m r j B r o 0 O p i i 4 O 4 1 7 W 2 _ o a n _ 0 Y i u y V 7 r u i C j g _ 0 B g n 3 L y 8 2 r B g o q k E o l w N n 0 p 9 U 6 m t D h 9 w 4 Z y v 1 t D y _ x 7 E x n g r B g m u 9 Q 6 0 7 E z 3 - 7 D u o p - B 4 s p D 0 2 1 p I 2 8 z L w 6 6 h F v 8 i 4 C 5 v v Y 2 o u z J r _ 4 2 B r l 5 T h 7 v s C - m w 1 C 6 1 6 M j w i U - j z p B k h n 5 G l - g y B 5 1 L 8 k k 7 D x q 0 m C _ s w 6 D 9 k p g B m u m E 0 u _ v B t w 1 g C p n 4 z C t r 0 v B x 2 0 m K 5 5 l l G n - y j D k h h z B 9 u 4 w F s 3 o m L 4 v 9 t G p 7 o L 4 x z C _ g - 5 K 1 5 h D 5 k u r C p k 3 m D x k p w G 2 0 6 I y m w N s 8 v w C p k 8 k I k _ W 9 9 t 5 Q h g a 9 z v V s 7 y _ H p u 8 L y 0 o v S 9 u q B y h k j D r g 0 C q 1 0 3 C x w K r j j s J j k 2 g B u x x h P x 2 S o g o m H 4 w _ F i 7 t 7 M t 3 o w B y z o t I p 8 m j C p u i 3 E x 3 C k 9 2 5 B 3 l o B l 7 j B r r 9 y E g 9 g 6 E k t L 8 m g i B 8 _ W 7 v x k C 0 7 k 3 F y 2 2 g K s 6 k i E l 0 y x B m v v 3 L k p n 5 B v 8 n w E g o r 3 C 2 _ 7 z C 5 q q K 3 o j z D p - i B 0 n _ I 8 i x 2 M 2 h 3 R h q s 1 G j z - r C u n l w E j h 7 n E g 8 4 3 D 9 n 3 r C j h 8 _ D 8 h T r r _ o M x j 2 k B q j m 5 E 2 0 w 7 E 0 h u 0 B 4 g u p C p 7 3 k B 5 l 2 j D y 1 i O m y g j O u 8 N t q l l G 4 v x l B x u 5 _ D w - p 9 B o 9 z n I i l 1 C 5 l t 9 L 5 4 y N p z 8 8 E x z 7 K j k 5 F 5 o r 3 L i 1 a y o 3 n N k p - a u 0 6 s F t y 7 g B - w 7 r E 3 z y 8 F l h i b x l t 0 J m t y I l 9 x G p l 2 o N t n L 7 w 9 v B g g 6 l B y 0 g p G o 0 n m I 9 g v J 3 v Q v x m y D k - 4 6 D 1 q I o x p a z 6 u t K 8 x Z o u r y J k q 1 e 2 j 2 5 M - w s u B j j 7 j E t i t 2 I o x O 0 k l p K - _ 2 m D 8 3 l m C 2 6 v o L 7 q 9 _ B l j t j E - l x r J 9 x r L 0 v 9 O m o 0 e t 0 - p E _ y u C i t 7 3 B x y 9 N l 4 x 2 B 5 h z z B 2 s s 5 D r i q E o h 7 4 G 6 i 0 9 B t 4 u r B m h 8 U j 8 g p C _ 6 r D o v q 5 G k t t n C 8 t x 3 E 8 i 1 9 B o 1 y - S j g s B j 9 y 7 B 5 n 4 l F z i o 9 B k 0 k s K l o x t B k p 7 w C w - 1 z C q 1 C q t z l B 4 7 i o C 7 z 1 - B m n u j H s n 1 j B k 8 z N s s z q R 6 w 6 D _ 0 9 1 F z l n j H - x 3 6 F q 6 s U r x y f q u u x L 9 h 4 x L - h 4 x L 9 2 - F p p 6 _ H q g z w B k 5 2 x F p j y g E h 4 3 k C 8 1 6 H i l i q D m 6 3 T v 3 o L l y u r G 4 y w 5 B w m p u E t u q 2 N z 1 2 z M s k X 4 9 m E i 4 _ j F x 0 k R 9 q o x C y v y y O r w t x B 6 j s 4 G o s 9 t E j 3 7 3 C o n H v j n 2 M g 1 p K _ g _ s H x 4 u g B q j s r D p 4 y f 4 l - 7 Q z 5 q 8 Q - o w 5 F 1 w x 8 C v - x N u s i g I w 7 i h B 4 4 5 4 E 1 l 0 8 G s u 6 I m k w 1 I 7 p 0 C x u 8 5 J 3 T g 0 z 0 L 5 l u E o 4 u Y 2 v 2 E 0 n 8 1 B j p e 5 u 8 n F q 8 s p B m 5 x a j 8 r - C j p 3 d 5 6 U h 9 x j B l 8 u z O z 8 I j t X h w u 6 C 2 k 8 m D i s m E 2 r i 1 E l y t j B 6 v i k B u 0 9 j F 3 u n C r k t g C x 0 - n D 7 n 9 p I j w 1 D q p s N h t 8 B 5 9 n x I y u u F k 6 r m H z _ c 8 l o o I p 1 1 B 6 1 1 k C z m 1 0 C 0 2 q s I u 9 7 C w p _ h V 3 4 W 0 5 7 B 2 2 v - f 6 u 6 F 2 t S 1 x 4 w H t i 6 6 C j u q N m 6 _ m C z k x 3 B r r t h B - m z B r 5 4 w B n w - j I j 3 1 y C v j 7 x E q r _ s C m z 5 F x o 0 4 B i j z C _ - q m K w 4 s q D q 4 1 k E 4 n j _ H o y 5 - B 1 l q q E i s l i E q 2 o 4 P r r j N 4 w _ w D i m 6 u C _ - L 9 8 q 1 J 1 m 6 S 2 n x 8 G t p t F x 0 l 8 F 9 w h - C 6 3 p m L q m s S 6 y r _ E y 4 j - B 5 g - G y 3 i o L t 8 _ T p 6 0 q B h n u 6 F 8 n D y 6 5 z F - h h 0 C 1 i 5 j P t c u 4 F h - h 2 M l 6 y Q 5 x 6 C 8 7 7 x G - - z x I q 6 o V 8 9 s l G w 2 p n B 3 q 3 C 4 l _ 9 F 2 t w x B g 8 u E n z m x C o _ i 9 B t l 5 x L n 2 m U v t 4 R 2 j i t O 4 w v K 3 x g M p 7 o Z 2 s z b i 0 z i I _ l E 6 x l j L s y 8 6 B 1 s 0 h F k p s w B k o - 1 B k 8 C m 6 _ F j g 8 i F 4 n d 6 k i - E q g y i C l v 6 p H z k 9 L o 4 p q J v 2 t q B 4 1 4 w C 2 3 z a i 7 D _ i g r C g 2 v q B m 5 t 8 E o t j K _ 0 r m H y p x E s r 1 o E x 0 k v D y i 6 B 0 8 n d r x w C z 9 r D 3 m j k B 4 i l 6 B 1 v w 7 B t u G u p 6 v I 5 l g R l w r w F s 1 m s B o s s i E 9 3 u B _ r u v B 1 y o m K h i o G g z L x z h x f 7 v Y n u 1 2 F u j m t M 9 g e g o _ p B 7 r y 0 G m h 0 B 9 z 2 k F w l m m B i l - k C 9 k n 9 C 6 y n y F 9 w z k D 7 _ k K y 9 5 q D s 8 Q h m l i F 6 n h U r u _ r G r p o x C l m m B 2 5 M 0 s o s L 9 v k 6 B l 3 _ e i 2 m 5 D 6 w F w 6 6 1 B i r j F p w 6 9 E 0 z 3 x D t _ s d w g h l B p 2 1 m B 7 4 - 0 C r z i - G s m I i j u G 8 t i _ J v 1 z r D 1 i - j D n t o 1 E w 7 0 u B h s l 1 C y 4 z y D v s q M r i i 2 K j 5 j B z t 4 E _ t s x C 4 j T q i q n C 9 7 g 9 B 3 7 9 k D s 6 w x B x y 7 z B y - j 7 F w s v T 1 q k 6 B g 7 y h G 5 z p Z r t n - B u o t 5 D 0 9 x R 8 i w i D w p r k D k 7 u o D j z g e v l i G l k t i J 4 0 1 E 2 6 4 g B g 9 p r M s r S w 8 _ w D _ 2 6 h F m u 5 O 0 6 6 l E w 0 - l B 6 n q 4 C h 6 0 5 D 8 t U _ _ 1 q F g 7 p v B 0 v o G k q n 2 B m w p K - 8 d v 3 7 s B 4 4 h i C y v c p k - s E j q v u C j M r g J g i 9 1 L 0 z g w B x 1 i J l v x W q m u 8 I p 1 1 B 8 n j 0 J 6 u l H r u h 2 H h j E p 8 h o F 0 J o w w _ C i z y T i o z 9 C s 8 v h B h 3 r w B m 2 j B m k i m B s p t C q v 3 o B x 3 z s D m q y E 3 1 z W _ v 6 y F 9 t n B 4 3 9 Y - h 3 p G t g e s 6 g r L - - 1 g B 5 l 8 w D 4 0 v I 2 i v b t 1 6 p B x r j 0 H y R 2 o 2 z D u 6 o w C h t z y E 8 l 5 r D 5 q r M g x s B 7 w v o J u w v 8 C l s o t D h h 0 Z 0 2 m t E 8 o 3 s C _ _ Q q t q 5 B x 2 g u 3 B w j u G 9 v _ - C 8 j u m N _ 8 t L w h k s H 8 5 q a 0 2 s 8 F q p - 9 C 2 u z j P t y o T 4 - j - B i p 3 g J g v s 1 N 7 4 D g 4 5 c 6 w l V i 9 l r Y o 3 i M 4 m 7 5 e 7 _ - I 9 3 S 9 j o s P x s _ 7 T _ 0 5 b w 2 o 4 L g 3 H z x w l Q 7 - g 4 H l g m J 2 k _ u B x i w k S h q w P u y j l D 7 u h 6 G x s x 7 H u x k g D v 2 n b l k 2 T u x i y Q t 5 7 n E n U 8 r k y T 6 _ n 6 B 9 i - w C r j 5 R 7 i r o L n u u D 4 z x o b 4 n n C 7 j P x j 1 z H 5 g p v B s 6 2 v C 8 t w p D _ 4 5 u C z 4 5 1 D 4 x z h C q v w j B 9 m 5 1 F 3 6 - 0 B 6 x 6 1 H 2 r l V k _ p 8 K 1 6 - 5 G 4 9 7 h C 2 r z s B 0 1 s 8 F & l t ; / r i n g & g t ; & l t ; / r p o l y g o n s & g t ; & l t ; / r l i s t & g t ; & l t ; b b o x & g t ; M U L T I P O I N T   ( ( 2 0 . 9 6 7 0 2 1 4 2 4   5 5 . 6 6 8 8 4 8 ) ,   ( 2 8 . 2 4 2 7 6 0 0 0 0 0 0 0 1   5 8 . 0 8 2 3 1 6 ) ) & l t ; / b b o x & g t ; & l t ; / r e n t r y v a l u e & g t ; & l t ; / r e n t r y & g t ; & l t ; / R e g i o n C a c h e & g t ; & l t ; R e g i o n S o u r c e s   x m l n s : i = " h t t p : / / w w w . w 3 . o r g / 2 0 0 1 / X M L S c h e m a - i n s t a n c e " & g t ; & l t ; r s o u r c e & g t ; & l t ; r s o u r c e i d & g t ; 5 & l t ; / r s o u r c e i d & g t ; & l t ; r s o u r c e n a m e & g t ; T o m T o m & l t ; / r s o u r c e n a m e & g t ; & l t ; / r s o u r c e & g t ; & l t ; r s o u r c e & g t ; & l t ; r s o u r c e i d & g t ; 1 3 3 & l t ; / r s o u r c e i d & g t ; & l t ; r s o u r c e n a m e & g t ; G e o N a m e s & l t ; / r s o u r c e n a m e & g t ; & l t ; / r s o u r c e & g t ; & l t ; r s o u r c e & g t ; & l t ; r s o u r c e i d & g t ; 1 4 & l t ; / r s o u r c e i d & g t ; & l t ; r s o u r c e n a m e & g t ; M i c r o s o f t & l t ; / r s o u r c e n a m e & g t ; & l t ; / r s o u r c e & g t ; & l t ; / R e g i o n S o u r c e s & g t ; < / r p > < / V i s u a l i z a t i o n P S t a t e > 
</file>

<file path=customXml/itemProps1.xml><?xml version="1.0" encoding="utf-8"?>
<ds:datastoreItem xmlns:ds="http://schemas.openxmlformats.org/officeDocument/2006/customXml" ds:itemID="{DE70770F-F63E-4241-86F3-C512620DAD31}">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CC96384E-3F36-498B-A85B-6D0E8A905192}">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5732CB8A-937C-46D7-A6B7-07870814B097}">
  <ds:schemaRefs>
    <ds:schemaRef ds:uri="http://www.w3.org/2001/XMLSchema"/>
    <ds:schemaRef ds:uri="http://microsoft.data.visualization.engine.tours/1.0"/>
  </ds:schemaRefs>
</ds:datastoreItem>
</file>

<file path=customXml/itemProps4.xml><?xml version="1.0" encoding="utf-8"?>
<ds:datastoreItem xmlns:ds="http://schemas.openxmlformats.org/officeDocument/2006/customXml" ds:itemID="{8029CC8F-6FDC-4C5C-90ED-8E4933987805}">
  <ds:schemaRefs>
    <ds:schemaRef ds:uri="http://www.w3.org/2001/XMLSchema"/>
    <ds:schemaRef ds:uri="http://microsoft.data.visualization.Client.Excel.PState/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Aprēķins</vt:lpstr>
      <vt:lpstr>Iedz_sk</vt:lpstr>
      <vt:lpstr>Riga_iedz</vt:lpstr>
      <vt:lpstr>IKP</vt:lpstr>
      <vt:lpstr>Atkritumi</vt:lpstr>
      <vt:lpstr>NSAmaksa_2021</vt:lpstr>
      <vt:lpstr>AAR_Jauda</vt:lpstr>
      <vt:lpstr>Aprēķins_2030</vt:lpstr>
      <vt:lpstr>Karte_AAR</vt:lpstr>
      <vt:lpstr>Novadi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Elina Dace</dc:creator>
  <cp:lastModifiedBy>Jeļena Laščenko</cp:lastModifiedBy>
  <dcterms:created xsi:type="dcterms:W3CDTF">2021-10-25T19:26:21Z</dcterms:created>
  <dcterms:modified xsi:type="dcterms:W3CDTF">2022-05-17T06:36:51Z</dcterms:modified>
</cp:coreProperties>
</file>